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lnijt\Desktop\energy finance master class\"/>
    </mc:Choice>
  </mc:AlternateContent>
  <bookViews>
    <workbookView xWindow="480" yWindow="360" windowWidth="15600" windowHeight="7770"/>
  </bookViews>
  <sheets>
    <sheet name="Wind Model" sheetId="2" r:id="rId1"/>
  </sheets>
  <definedNames>
    <definedName name="solver_adj" localSheetId="0" hidden="1">'Wind Model'!$C$60:$Q$60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'Wind Model'!$C$71:$Q$71</definedName>
    <definedName name="solver_lhs2" localSheetId="0" hidden="1">'Wind Model'!$C$60:$Q$60</definedName>
    <definedName name="solver_lhs3" localSheetId="0" hidden="1">'Wind Model'!$C$71:$Q$71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'Wind Model'!$B$62</definedName>
    <definedName name="solver_pre" localSheetId="0" hidden="1">0.000001</definedName>
    <definedName name="solver_rbv" localSheetId="0" hidden="1">1</definedName>
    <definedName name="solver_rel1" localSheetId="0" hidden="1">2</definedName>
    <definedName name="solver_rel2" localSheetId="0" hidden="1">3</definedName>
    <definedName name="solver_rel3" localSheetId="0" hidden="1">2</definedName>
    <definedName name="solver_rhs1" localSheetId="0" hidden="1">'Wind Model'!#REF!</definedName>
    <definedName name="solver_rhs2" localSheetId="0" hidden="1">0</definedName>
    <definedName name="solver_rhs3" localSheetId="0" hidden="1">'Wind Model'!#REF!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val" localSheetId="0" hidden="1">0</definedName>
    <definedName name="solver_ver" localSheetId="0" hidden="1">3</definedName>
  </definedNames>
  <calcPr calcId="152511" calcMode="autoNoTable"/>
</workbook>
</file>

<file path=xl/calcChain.xml><?xml version="1.0" encoding="utf-8"?>
<calcChain xmlns="http://schemas.openxmlformats.org/spreadsheetml/2006/main">
  <c r="P112" i="2" l="1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D76" i="2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AA76" i="2" s="1"/>
  <c r="D41" i="2" l="1"/>
  <c r="E41" i="2" l="1"/>
  <c r="F41" i="2" l="1"/>
  <c r="B54" i="2"/>
  <c r="B62" i="2" s="1"/>
  <c r="B73" i="2" s="1"/>
  <c r="G41" i="2" l="1"/>
  <c r="C29" i="2"/>
  <c r="C28" i="2"/>
  <c r="C61" i="2"/>
  <c r="B40" i="2"/>
  <c r="H41" i="2" l="1"/>
  <c r="C60" i="2"/>
  <c r="C70" i="2" s="1"/>
  <c r="C78" i="2" s="1"/>
  <c r="C39" i="2"/>
  <c r="C42" i="2" s="1"/>
  <c r="C44" i="2" s="1"/>
  <c r="B57" i="2"/>
  <c r="I41" i="2" l="1"/>
  <c r="C45" i="2"/>
  <c r="C48" i="2"/>
  <c r="C49" i="2"/>
  <c r="C56" i="2"/>
  <c r="D39" i="2"/>
  <c r="C55" i="2"/>
  <c r="D42" i="2" l="1"/>
  <c r="D44" i="2" s="1"/>
  <c r="J41" i="2"/>
  <c r="D56" i="2"/>
  <c r="D49" i="2"/>
  <c r="C57" i="2"/>
  <c r="D55" i="2" s="1"/>
  <c r="C62" i="2"/>
  <c r="E39" i="2"/>
  <c r="E42" i="2" l="1"/>
  <c r="E44" i="2" s="1"/>
  <c r="K41" i="2"/>
  <c r="D45" i="2"/>
  <c r="D48" i="2"/>
  <c r="D61" i="2"/>
  <c r="D60" i="2" s="1"/>
  <c r="E49" i="2"/>
  <c r="E56" i="2"/>
  <c r="F39" i="2"/>
  <c r="L41" i="2" l="1"/>
  <c r="F42" i="2"/>
  <c r="F44" i="2" s="1"/>
  <c r="E45" i="2"/>
  <c r="E48" i="2"/>
  <c r="D62" i="2"/>
  <c r="F49" i="2"/>
  <c r="F56" i="2"/>
  <c r="D57" i="2"/>
  <c r="E55" i="2" s="1"/>
  <c r="G39" i="2"/>
  <c r="F45" i="2" l="1"/>
  <c r="G42" i="2"/>
  <c r="G44" i="2" s="1"/>
  <c r="M41" i="2"/>
  <c r="F48" i="2"/>
  <c r="E61" i="2"/>
  <c r="E60" i="2" s="1"/>
  <c r="D70" i="2"/>
  <c r="D78" i="2" s="1"/>
  <c r="G49" i="2"/>
  <c r="G56" i="2"/>
  <c r="H39" i="2"/>
  <c r="N41" i="2" l="1"/>
  <c r="H42" i="2"/>
  <c r="H44" i="2" s="1"/>
  <c r="G45" i="2"/>
  <c r="G48" i="2"/>
  <c r="E62" i="2"/>
  <c r="H49" i="2"/>
  <c r="H56" i="2"/>
  <c r="I39" i="2"/>
  <c r="E57" i="2"/>
  <c r="H45" i="2" l="1"/>
  <c r="I42" i="2"/>
  <c r="I44" i="2" s="1"/>
  <c r="O41" i="2"/>
  <c r="H48" i="2"/>
  <c r="F61" i="2"/>
  <c r="F60" i="2" s="1"/>
  <c r="E70" i="2"/>
  <c r="E78" i="2" s="1"/>
  <c r="I49" i="2"/>
  <c r="I56" i="2"/>
  <c r="J39" i="2"/>
  <c r="F55" i="2"/>
  <c r="F57" i="2" s="1"/>
  <c r="P41" i="2" l="1"/>
  <c r="J42" i="2"/>
  <c r="J44" i="2" s="1"/>
  <c r="I45" i="2"/>
  <c r="I48" i="2"/>
  <c r="F70" i="2"/>
  <c r="F78" i="2" s="1"/>
  <c r="F62" i="2"/>
  <c r="J49" i="2"/>
  <c r="J56" i="2"/>
  <c r="K39" i="2"/>
  <c r="G55" i="2"/>
  <c r="G57" i="2" s="1"/>
  <c r="J45" i="2" l="1"/>
  <c r="K42" i="2"/>
  <c r="K44" i="2" s="1"/>
  <c r="Q41" i="2"/>
  <c r="J48" i="2"/>
  <c r="G61" i="2"/>
  <c r="G60" i="2" s="1"/>
  <c r="K49" i="2"/>
  <c r="K56" i="2"/>
  <c r="L39" i="2"/>
  <c r="H55" i="2"/>
  <c r="H57" i="2" s="1"/>
  <c r="L42" i="2" l="1"/>
  <c r="L44" i="2" s="1"/>
  <c r="R41" i="2"/>
  <c r="K45" i="2"/>
  <c r="K48" i="2"/>
  <c r="G70" i="2"/>
  <c r="G78" i="2" s="1"/>
  <c r="G62" i="2"/>
  <c r="L49" i="2"/>
  <c r="L56" i="2"/>
  <c r="M39" i="2"/>
  <c r="I55" i="2"/>
  <c r="I57" i="2" s="1"/>
  <c r="M42" i="2" l="1"/>
  <c r="M44" i="2" s="1"/>
  <c r="S41" i="2"/>
  <c r="L45" i="2"/>
  <c r="L48" i="2"/>
  <c r="H61" i="2"/>
  <c r="H60" i="2" s="1"/>
  <c r="M49" i="2"/>
  <c r="M56" i="2"/>
  <c r="N39" i="2"/>
  <c r="J55" i="2"/>
  <c r="J57" i="2" s="1"/>
  <c r="K55" i="2" s="1"/>
  <c r="T41" i="2" l="1"/>
  <c r="N42" i="2"/>
  <c r="N44" i="2" s="1"/>
  <c r="M45" i="2"/>
  <c r="M48" i="2"/>
  <c r="H70" i="2"/>
  <c r="H78" i="2" s="1"/>
  <c r="H62" i="2"/>
  <c r="N49" i="2"/>
  <c r="N56" i="2"/>
  <c r="O39" i="2"/>
  <c r="O42" i="2" l="1"/>
  <c r="O44" i="2" s="1"/>
  <c r="N45" i="2"/>
  <c r="U41" i="2"/>
  <c r="N48" i="2"/>
  <c r="I61" i="2"/>
  <c r="I60" i="2" s="1"/>
  <c r="O49" i="2"/>
  <c r="O56" i="2"/>
  <c r="K57" i="2"/>
  <c r="P39" i="2"/>
  <c r="O45" i="2" l="1"/>
  <c r="V41" i="2"/>
  <c r="W41" i="2" s="1"/>
  <c r="P42" i="2"/>
  <c r="P44" i="2" s="1"/>
  <c r="O48" i="2"/>
  <c r="I70" i="2"/>
  <c r="I78" i="2" s="1"/>
  <c r="I62" i="2"/>
  <c r="P49" i="2"/>
  <c r="P56" i="2"/>
  <c r="Q39" i="2"/>
  <c r="L55" i="2"/>
  <c r="X41" i="2" l="1"/>
  <c r="P45" i="2"/>
  <c r="Q42" i="2"/>
  <c r="Q44" i="2" s="1"/>
  <c r="P48" i="2"/>
  <c r="J61" i="2"/>
  <c r="J60" i="2" s="1"/>
  <c r="Q49" i="2"/>
  <c r="Q56" i="2"/>
  <c r="L57" i="2"/>
  <c r="R39" i="2"/>
  <c r="Y41" i="2" l="1"/>
  <c r="R42" i="2"/>
  <c r="R44" i="2" s="1"/>
  <c r="Q45" i="2"/>
  <c r="Q48" i="2"/>
  <c r="J70" i="2"/>
  <c r="J78" i="2" s="1"/>
  <c r="J62" i="2"/>
  <c r="R49" i="2"/>
  <c r="R56" i="2"/>
  <c r="M55" i="2"/>
  <c r="S39" i="2"/>
  <c r="Z41" i="2" l="1"/>
  <c r="R45" i="2"/>
  <c r="S42" i="2"/>
  <c r="S44" i="2" s="1"/>
  <c r="R48" i="2"/>
  <c r="K61" i="2"/>
  <c r="K60" i="2" s="1"/>
  <c r="S49" i="2"/>
  <c r="S56" i="2"/>
  <c r="M57" i="2"/>
  <c r="T39" i="2"/>
  <c r="AA41" i="2" l="1"/>
  <c r="S45" i="2"/>
  <c r="T42" i="2"/>
  <c r="T44" i="2" s="1"/>
  <c r="S48" i="2"/>
  <c r="K62" i="2"/>
  <c r="K70" i="2"/>
  <c r="K78" i="2" s="1"/>
  <c r="T49" i="2"/>
  <c r="T56" i="2"/>
  <c r="N55" i="2"/>
  <c r="U39" i="2"/>
  <c r="U42" i="2" l="1"/>
  <c r="U44" i="2" s="1"/>
  <c r="T45" i="2"/>
  <c r="T48" i="2"/>
  <c r="L61" i="2"/>
  <c r="L60" i="2" s="1"/>
  <c r="L70" i="2" s="1"/>
  <c r="L78" i="2" s="1"/>
  <c r="U49" i="2"/>
  <c r="U56" i="2"/>
  <c r="N57" i="2"/>
  <c r="O55" i="2" s="1"/>
  <c r="V39" i="2"/>
  <c r="W39" i="2" s="1"/>
  <c r="X39" i="2" l="1"/>
  <c r="W42" i="2"/>
  <c r="W49" i="2"/>
  <c r="W56" i="2"/>
  <c r="V42" i="2"/>
  <c r="V44" i="2" s="1"/>
  <c r="U45" i="2"/>
  <c r="U48" i="2"/>
  <c r="L62" i="2"/>
  <c r="V49" i="2"/>
  <c r="V56" i="2"/>
  <c r="O57" i="2"/>
  <c r="P55" i="2" s="1"/>
  <c r="W48" i="2" l="1"/>
  <c r="W50" i="2" s="1"/>
  <c r="W80" i="2" s="1"/>
  <c r="W45" i="2"/>
  <c r="W44" i="2"/>
  <c r="Y39" i="2"/>
  <c r="X42" i="2"/>
  <c r="X48" i="2" s="1"/>
  <c r="X49" i="2"/>
  <c r="X56" i="2"/>
  <c r="V45" i="2"/>
  <c r="V48" i="2"/>
  <c r="M61" i="2"/>
  <c r="M60" i="2" s="1"/>
  <c r="P57" i="2"/>
  <c r="Z39" i="2" l="1"/>
  <c r="Y49" i="2"/>
  <c r="Y42" i="2"/>
  <c r="Y56" i="2"/>
  <c r="X50" i="2"/>
  <c r="X80" i="2" s="1"/>
  <c r="W46" i="2"/>
  <c r="X44" i="2"/>
  <c r="X45" i="2"/>
  <c r="M70" i="2"/>
  <c r="M78" i="2" s="1"/>
  <c r="M62" i="2"/>
  <c r="Q55" i="2"/>
  <c r="Q57" i="2" s="1"/>
  <c r="X46" i="2" l="1"/>
  <c r="X52" i="2" s="1"/>
  <c r="AA39" i="2"/>
  <c r="Z49" i="2"/>
  <c r="Z42" i="2"/>
  <c r="Z56" i="2"/>
  <c r="Y48" i="2"/>
  <c r="Y50" i="2" s="1"/>
  <c r="Y80" i="2" s="1"/>
  <c r="Y44" i="2"/>
  <c r="Y45" i="2"/>
  <c r="W52" i="2"/>
  <c r="N61" i="2"/>
  <c r="N60" i="2" s="1"/>
  <c r="N70" i="2" s="1"/>
  <c r="N78" i="2" s="1"/>
  <c r="R55" i="2"/>
  <c r="AA49" i="2" l="1"/>
  <c r="AA42" i="2"/>
  <c r="AA56" i="2"/>
  <c r="Y46" i="2"/>
  <c r="Z48" i="2"/>
  <c r="Z50" i="2" s="1"/>
  <c r="Z80" i="2" s="1"/>
  <c r="Z45" i="2"/>
  <c r="Z44" i="2"/>
  <c r="N62" i="2"/>
  <c r="R57" i="2"/>
  <c r="Z46" i="2" l="1"/>
  <c r="Z52" i="2" s="1"/>
  <c r="Y52" i="2"/>
  <c r="AA48" i="2"/>
  <c r="AA50" i="2" s="1"/>
  <c r="AA80" i="2" s="1"/>
  <c r="AA45" i="2"/>
  <c r="AA44" i="2"/>
  <c r="O61" i="2"/>
  <c r="O60" i="2" s="1"/>
  <c r="S55" i="2"/>
  <c r="S57" i="2" s="1"/>
  <c r="AA46" i="2" l="1"/>
  <c r="AA52" i="2" s="1"/>
  <c r="O70" i="2"/>
  <c r="O78" i="2" s="1"/>
  <c r="O62" i="2"/>
  <c r="T55" i="2"/>
  <c r="P61" i="2" l="1"/>
  <c r="P60" i="2" s="1"/>
  <c r="T57" i="2"/>
  <c r="P70" i="2" l="1"/>
  <c r="P78" i="2" s="1"/>
  <c r="P62" i="2"/>
  <c r="U55" i="2"/>
  <c r="Q61" i="2" l="1"/>
  <c r="Q60" i="2" s="1"/>
  <c r="U57" i="2"/>
  <c r="Q62" i="2" l="1"/>
  <c r="Q70" i="2"/>
  <c r="Q78" i="2" s="1"/>
  <c r="V55" i="2"/>
  <c r="R60" i="2" l="1"/>
  <c r="R61" i="2"/>
  <c r="V57" i="2"/>
  <c r="W55" i="2" s="1"/>
  <c r="W57" i="2" s="1"/>
  <c r="X55" i="2" s="1"/>
  <c r="X57" i="2" s="1"/>
  <c r="Y55" i="2" s="1"/>
  <c r="Y57" i="2" s="1"/>
  <c r="Z55" i="2" s="1"/>
  <c r="Z57" i="2" s="1"/>
  <c r="AA55" i="2" s="1"/>
  <c r="AA57" i="2" s="1"/>
  <c r="R70" i="2" l="1"/>
  <c r="R78" i="2" s="1"/>
  <c r="R62" i="2"/>
  <c r="S60" i="2" l="1"/>
  <c r="S61" i="2"/>
  <c r="S70" i="2" l="1"/>
  <c r="S78" i="2" s="1"/>
  <c r="S62" i="2"/>
  <c r="T60" i="2" l="1"/>
  <c r="T61" i="2"/>
  <c r="T70" i="2" l="1"/>
  <c r="T78" i="2" s="1"/>
  <c r="T62" i="2"/>
  <c r="U60" i="2" l="1"/>
  <c r="U62" i="2" s="1"/>
  <c r="U61" i="2"/>
  <c r="V60" i="2" l="1"/>
  <c r="V62" i="2" s="1"/>
  <c r="V61" i="2"/>
  <c r="U70" i="2"/>
  <c r="U78" i="2" s="1"/>
  <c r="W61" i="2" l="1"/>
  <c r="W64" i="2" s="1"/>
  <c r="W60" i="2"/>
  <c r="W70" i="2" s="1"/>
  <c r="W78" i="2" s="1"/>
  <c r="W59" i="2"/>
  <c r="V70" i="2"/>
  <c r="V78" i="2" s="1"/>
  <c r="W62" i="2" l="1"/>
  <c r="X59" i="2" s="1"/>
  <c r="W65" i="2"/>
  <c r="I50" i="2"/>
  <c r="I80" i="2" s="1"/>
  <c r="Q50" i="2"/>
  <c r="Q80" i="2" s="1"/>
  <c r="M50" i="2"/>
  <c r="M80" i="2" s="1"/>
  <c r="F50" i="2"/>
  <c r="F80" i="2" s="1"/>
  <c r="V50" i="2"/>
  <c r="V80" i="2" s="1"/>
  <c r="J50" i="2"/>
  <c r="J80" i="2" s="1"/>
  <c r="R50" i="2"/>
  <c r="R80" i="2" s="1"/>
  <c r="E50" i="2"/>
  <c r="E80" i="2" s="1"/>
  <c r="U50" i="2"/>
  <c r="U80" i="2" s="1"/>
  <c r="N50" i="2"/>
  <c r="N80" i="2" s="1"/>
  <c r="L50" i="2"/>
  <c r="L80" i="2" s="1"/>
  <c r="H50" i="2"/>
  <c r="H80" i="2" s="1"/>
  <c r="T50" i="2"/>
  <c r="T80" i="2" s="1"/>
  <c r="D50" i="2"/>
  <c r="D80" i="2" s="1"/>
  <c r="P50" i="2"/>
  <c r="P80" i="2" s="1"/>
  <c r="C50" i="2"/>
  <c r="C80" i="2" s="1"/>
  <c r="G50" i="2"/>
  <c r="G80" i="2" s="1"/>
  <c r="K50" i="2"/>
  <c r="K80" i="2" s="1"/>
  <c r="O50" i="2"/>
  <c r="O80" i="2" s="1"/>
  <c r="S50" i="2"/>
  <c r="S80" i="2" s="1"/>
  <c r="C40" i="2"/>
  <c r="X61" i="2" l="1"/>
  <c r="X64" i="2" s="1"/>
  <c r="X60" i="2"/>
  <c r="X62" i="2" s="1"/>
  <c r="Y61" i="2" s="1"/>
  <c r="Y64" i="2" s="1"/>
  <c r="W69" i="2"/>
  <c r="W73" i="2" s="1"/>
  <c r="W77" i="2" s="1"/>
  <c r="W79" i="2"/>
  <c r="X65" i="2"/>
  <c r="X67" i="2" s="1"/>
  <c r="Y59" i="2"/>
  <c r="W67" i="2"/>
  <c r="D40" i="2"/>
  <c r="Y60" i="2" l="1"/>
  <c r="Y70" i="2" s="1"/>
  <c r="Y78" i="2" s="1"/>
  <c r="X70" i="2"/>
  <c r="X78" i="2" s="1"/>
  <c r="X69" i="2"/>
  <c r="X73" i="2" s="1"/>
  <c r="X77" i="2" s="1"/>
  <c r="X79" i="2"/>
  <c r="Y65" i="2"/>
  <c r="E40" i="2"/>
  <c r="Y62" i="2" l="1"/>
  <c r="Z61" i="2" s="1"/>
  <c r="Z64" i="2" s="1"/>
  <c r="Z59" i="2"/>
  <c r="Y69" i="2"/>
  <c r="Y73" i="2" s="1"/>
  <c r="Y77" i="2" s="1"/>
  <c r="Y79" i="2"/>
  <c r="Z65" i="2"/>
  <c r="Y67" i="2"/>
  <c r="C46" i="2"/>
  <c r="F40" i="2"/>
  <c r="Z60" i="2" l="1"/>
  <c r="Z70" i="2" s="1"/>
  <c r="Z78" i="2" s="1"/>
  <c r="Z69" i="2"/>
  <c r="Z79" i="2"/>
  <c r="C52" i="2"/>
  <c r="C64" i="2" s="1"/>
  <c r="C65" i="2" s="1"/>
  <c r="C79" i="2" s="1"/>
  <c r="Z67" i="2"/>
  <c r="D46" i="2"/>
  <c r="G40" i="2"/>
  <c r="Z73" i="2" l="1"/>
  <c r="Z77" i="2" s="1"/>
  <c r="Z62" i="2"/>
  <c r="AA61" i="2" s="1"/>
  <c r="AA64" i="2" s="1"/>
  <c r="AA65" i="2" s="1"/>
  <c r="D52" i="2"/>
  <c r="E46" i="2"/>
  <c r="H40" i="2"/>
  <c r="AA60" i="2" l="1"/>
  <c r="AA70" i="2" s="1"/>
  <c r="AA78" i="2" s="1"/>
  <c r="AA62" i="2"/>
  <c r="AA59" i="2"/>
  <c r="AA69" i="2"/>
  <c r="AA73" i="2" s="1"/>
  <c r="AA77" i="2" s="1"/>
  <c r="AA79" i="2"/>
  <c r="E52" i="2"/>
  <c r="AA67" i="2"/>
  <c r="C69" i="2"/>
  <c r="C71" i="2" s="1"/>
  <c r="C67" i="2"/>
  <c r="F46" i="2"/>
  <c r="I40" i="2"/>
  <c r="F52" i="2" l="1"/>
  <c r="C73" i="2"/>
  <c r="G46" i="2"/>
  <c r="J40" i="2"/>
  <c r="C77" i="2" l="1"/>
  <c r="C81" i="2" s="1"/>
  <c r="G52" i="2"/>
  <c r="H46" i="2"/>
  <c r="K40" i="2"/>
  <c r="H52" i="2" l="1"/>
  <c r="I46" i="2"/>
  <c r="L40" i="2"/>
  <c r="I52" i="2" l="1"/>
  <c r="J46" i="2"/>
  <c r="M40" i="2"/>
  <c r="J52" i="2" l="1"/>
  <c r="K46" i="2"/>
  <c r="N40" i="2"/>
  <c r="K52" i="2" l="1"/>
  <c r="L46" i="2"/>
  <c r="O40" i="2"/>
  <c r="L52" i="2" l="1"/>
  <c r="M46" i="2"/>
  <c r="P40" i="2"/>
  <c r="M52" i="2" l="1"/>
  <c r="N46" i="2"/>
  <c r="Q40" i="2"/>
  <c r="N52" i="2" l="1"/>
  <c r="O46" i="2"/>
  <c r="R40" i="2"/>
  <c r="O52" i="2" l="1"/>
  <c r="P46" i="2"/>
  <c r="S40" i="2"/>
  <c r="P52" i="2" l="1"/>
  <c r="Q46" i="2"/>
  <c r="T40" i="2"/>
  <c r="Q52" i="2" l="1"/>
  <c r="R46" i="2"/>
  <c r="U40" i="2"/>
  <c r="R52" i="2" l="1"/>
  <c r="S46" i="2"/>
  <c r="V40" i="2"/>
  <c r="W40" i="2" s="1"/>
  <c r="X40" i="2" s="1"/>
  <c r="Y40" i="2" s="1"/>
  <c r="Z40" i="2" s="1"/>
  <c r="AA40" i="2" s="1"/>
  <c r="S52" i="2" l="1"/>
  <c r="T46" i="2"/>
  <c r="T52" i="2" l="1"/>
  <c r="U46" i="2"/>
  <c r="U52" i="2" l="1"/>
  <c r="V46" i="2"/>
  <c r="V52" i="2" l="1"/>
  <c r="V64" i="2" s="1"/>
  <c r="V65" i="2" s="1"/>
  <c r="V79" i="2" s="1"/>
  <c r="T64" i="2"/>
  <c r="T65" i="2" s="1"/>
  <c r="T79" i="2" s="1"/>
  <c r="J64" i="2"/>
  <c r="J65" i="2" s="1"/>
  <c r="J79" i="2" s="1"/>
  <c r="Q64" i="2"/>
  <c r="Q65" i="2" s="1"/>
  <c r="Q79" i="2" s="1"/>
  <c r="H64" i="2"/>
  <c r="H65" i="2" s="1"/>
  <c r="H79" i="2" s="1"/>
  <c r="D64" i="2"/>
  <c r="D65" i="2" s="1"/>
  <c r="D79" i="2" s="1"/>
  <c r="E64" i="2"/>
  <c r="E65" i="2" s="1"/>
  <c r="E79" i="2" s="1"/>
  <c r="G64" i="2"/>
  <c r="G65" i="2" s="1"/>
  <c r="G79" i="2" s="1"/>
  <c r="K64" i="2"/>
  <c r="K65" i="2" s="1"/>
  <c r="K79" i="2" s="1"/>
  <c r="F64" i="2"/>
  <c r="F65" i="2" s="1"/>
  <c r="F79" i="2" s="1"/>
  <c r="O64" i="2"/>
  <c r="O65" i="2" s="1"/>
  <c r="O79" i="2" s="1"/>
  <c r="L64" i="2"/>
  <c r="L65" i="2" s="1"/>
  <c r="L79" i="2" s="1"/>
  <c r="P64" i="2"/>
  <c r="P65" i="2" s="1"/>
  <c r="P79" i="2" s="1"/>
  <c r="N64" i="2"/>
  <c r="N65" i="2" s="1"/>
  <c r="N79" i="2" s="1"/>
  <c r="U64" i="2"/>
  <c r="U65" i="2" s="1"/>
  <c r="U79" i="2" s="1"/>
  <c r="I64" i="2"/>
  <c r="I65" i="2" s="1"/>
  <c r="I79" i="2" s="1"/>
  <c r="R64" i="2"/>
  <c r="R65" i="2" s="1"/>
  <c r="R79" i="2" s="1"/>
  <c r="M64" i="2"/>
  <c r="M65" i="2" s="1"/>
  <c r="M79" i="2" s="1"/>
  <c r="S59" i="2"/>
  <c r="T59" i="2"/>
  <c r="U59" i="2"/>
  <c r="V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64" i="2"/>
  <c r="S65" i="2" s="1"/>
  <c r="S79" i="2" s="1"/>
  <c r="C59" i="2"/>
  <c r="U69" i="2" l="1"/>
  <c r="U73" i="2" s="1"/>
  <c r="U77" i="2" s="1"/>
  <c r="O69" i="2"/>
  <c r="O71" i="2" s="1"/>
  <c r="G69" i="2"/>
  <c r="G71" i="2" s="1"/>
  <c r="H69" i="2"/>
  <c r="H71" i="2" s="1"/>
  <c r="T69" i="2"/>
  <c r="T73" i="2" s="1"/>
  <c r="T77" i="2" s="1"/>
  <c r="M69" i="2"/>
  <c r="M71" i="2" s="1"/>
  <c r="N69" i="2"/>
  <c r="N71" i="2" s="1"/>
  <c r="F69" i="2"/>
  <c r="F71" i="2" s="1"/>
  <c r="Q69" i="2"/>
  <c r="Q73" i="2" s="1"/>
  <c r="Q77" i="2" s="1"/>
  <c r="R69" i="2"/>
  <c r="R73" i="2" s="1"/>
  <c r="R77" i="2" s="1"/>
  <c r="P69" i="2"/>
  <c r="P71" i="2" s="1"/>
  <c r="K69" i="2"/>
  <c r="K71" i="2" s="1"/>
  <c r="J69" i="2"/>
  <c r="J71" i="2" s="1"/>
  <c r="V69" i="2"/>
  <c r="V73" i="2" s="1"/>
  <c r="V77" i="2" s="1"/>
  <c r="S69" i="2"/>
  <c r="S73" i="2" s="1"/>
  <c r="S77" i="2" s="1"/>
  <c r="I69" i="2"/>
  <c r="I71" i="2" s="1"/>
  <c r="L69" i="2"/>
  <c r="L71" i="2" s="1"/>
  <c r="D69" i="2"/>
  <c r="D71" i="2" s="1"/>
  <c r="E69" i="2"/>
  <c r="E71" i="2" s="1"/>
  <c r="P67" i="2"/>
  <c r="E67" i="2"/>
  <c r="J12" i="2" l="1"/>
  <c r="I73" i="2"/>
  <c r="F73" i="2"/>
  <c r="N73" i="2"/>
  <c r="E73" i="2"/>
  <c r="J73" i="2"/>
  <c r="M73" i="2"/>
  <c r="D73" i="2"/>
  <c r="K73" i="2"/>
  <c r="H73" i="2"/>
  <c r="P73" i="2"/>
  <c r="G73" i="2"/>
  <c r="L73" i="2"/>
  <c r="O73" i="2"/>
  <c r="G67" i="2"/>
  <c r="T67" i="2"/>
  <c r="F67" i="2"/>
  <c r="L67" i="2"/>
  <c r="S67" i="2"/>
  <c r="R67" i="2"/>
  <c r="U67" i="2"/>
  <c r="O67" i="2"/>
  <c r="M67" i="2"/>
  <c r="K67" i="2"/>
  <c r="J67" i="2"/>
  <c r="I67" i="2"/>
  <c r="D67" i="2"/>
  <c r="G77" i="2" l="1"/>
  <c r="G81" i="2" s="1"/>
  <c r="D77" i="2"/>
  <c r="D81" i="2" s="1"/>
  <c r="N77" i="2"/>
  <c r="N81" i="2" s="1"/>
  <c r="P77" i="2"/>
  <c r="P81" i="2" s="1"/>
  <c r="M77" i="2"/>
  <c r="M81" i="2" s="1"/>
  <c r="F77" i="2"/>
  <c r="F81" i="2" s="1"/>
  <c r="O77" i="2"/>
  <c r="O81" i="2" s="1"/>
  <c r="H77" i="2"/>
  <c r="H81" i="2" s="1"/>
  <c r="J77" i="2"/>
  <c r="J81" i="2" s="1"/>
  <c r="I77" i="2"/>
  <c r="I81" i="2" s="1"/>
  <c r="L77" i="2"/>
  <c r="L81" i="2" s="1"/>
  <c r="K77" i="2"/>
  <c r="K81" i="2" s="1"/>
  <c r="E77" i="2"/>
  <c r="E81" i="2" s="1"/>
  <c r="J23" i="2"/>
  <c r="Q67" i="2"/>
  <c r="V67" i="2"/>
  <c r="N67" i="2"/>
  <c r="H67" i="2"/>
  <c r="J22" i="2" l="1"/>
</calcChain>
</file>

<file path=xl/sharedStrings.xml><?xml version="1.0" encoding="utf-8"?>
<sst xmlns="http://schemas.openxmlformats.org/spreadsheetml/2006/main" count="117" uniqueCount="85">
  <si>
    <t>Installed capacity (MW)</t>
  </si>
  <si>
    <t>Tax rate</t>
  </si>
  <si>
    <t>Commencement</t>
  </si>
  <si>
    <t>Interest</t>
  </si>
  <si>
    <t>DSCR</t>
  </si>
  <si>
    <t>Leverage</t>
  </si>
  <si>
    <t>Input assumptions</t>
  </si>
  <si>
    <t>Equity IRR</t>
  </si>
  <si>
    <t>Fixed operating costs (kEUR/MW)</t>
  </si>
  <si>
    <t>Technical Lifetime (years)</t>
  </si>
  <si>
    <t>Subsidy tenor (years)</t>
  </si>
  <si>
    <t>Inflation (% per annum)</t>
  </si>
  <si>
    <t>Total Revenues (kEUR)</t>
  </si>
  <si>
    <t>Grey revenues (kEUR)</t>
  </si>
  <si>
    <t>MWh produced per year (MWh)</t>
  </si>
  <si>
    <t>Max subsidy (kEUR/MWh)</t>
  </si>
  <si>
    <r>
      <t>Subsidy revenues</t>
    </r>
    <r>
      <rPr>
        <b/>
        <sz val="9.35"/>
        <rFont val="Calibri"/>
        <family val="2"/>
      </rPr>
      <t xml:space="preserve"> (kEUR)</t>
    </r>
  </si>
  <si>
    <t>Fixed costs (kEUR)</t>
  </si>
  <si>
    <t>Variable costs (kEUR)</t>
  </si>
  <si>
    <t>Loan tenor (years)</t>
  </si>
  <si>
    <t>Earning Before Tax (kEUR)</t>
  </si>
  <si>
    <t>Debt balance Begin of Period (kEUR)</t>
  </si>
  <si>
    <t>Repayment (kEUR)</t>
  </si>
  <si>
    <t>Interest (kEUR)</t>
  </si>
  <si>
    <t>Debt balance End of Period (kEUR)</t>
  </si>
  <si>
    <t>Capital Expenditure (kEUR)</t>
  </si>
  <si>
    <t>Earning Before Interest, Taxes, Depreciation and Amortization (kEUR)</t>
  </si>
  <si>
    <t>Total Operation Expenditure (kEUR)</t>
  </si>
  <si>
    <t>Tax (kEUR)</t>
  </si>
  <si>
    <t>Profit (kEUR)</t>
  </si>
  <si>
    <t>Debt Service (kEUR)</t>
  </si>
  <si>
    <t>Cash flow available for Debt Service (kEUR)</t>
  </si>
  <si>
    <t>Depreciation (kEUR)</t>
  </si>
  <si>
    <t>Cash flow available for Equity Investors (kEUR)</t>
  </si>
  <si>
    <t>Book value wind farm Begin of Period (kEUR)</t>
  </si>
  <si>
    <t>Book value wind farm End of Period (kEUR)</t>
  </si>
  <si>
    <t>Tender base price (kEUR/MWh)</t>
  </si>
  <si>
    <t>Capital Expenditure (kEUR/MW)</t>
  </si>
  <si>
    <t>Linear repayment</t>
  </si>
  <si>
    <t>Annuity</t>
  </si>
  <si>
    <t>Linear</t>
  </si>
  <si>
    <t>Wind Resource</t>
  </si>
  <si>
    <t>P90</t>
  </si>
  <si>
    <t>P75</t>
  </si>
  <si>
    <t>P50</t>
  </si>
  <si>
    <t>Price in applicable year (EUR/MWh)</t>
  </si>
  <si>
    <t>P90 Production (full loadhours/year)</t>
  </si>
  <si>
    <t>P75 Production (full loadhours/year)</t>
  </si>
  <si>
    <t>P50 Production (full loadhours/year)</t>
  </si>
  <si>
    <t>Variable operating costs (EUR/MWh)</t>
  </si>
  <si>
    <t>For dropdowns</t>
  </si>
  <si>
    <t>Money Multiple</t>
  </si>
  <si>
    <t>Year end Date</t>
  </si>
  <si>
    <t>Year</t>
  </si>
  <si>
    <t>&lt; Dropdowns</t>
  </si>
  <si>
    <t>Debt Repayment method</t>
  </si>
  <si>
    <t>Do not change</t>
  </si>
  <si>
    <t>Hard Inputs</t>
  </si>
  <si>
    <t>Fill in and finish</t>
  </si>
  <si>
    <t>MW</t>
  </si>
  <si>
    <t>years</t>
  </si>
  <si>
    <t>kEUR/MW</t>
  </si>
  <si>
    <t>hours/year</t>
  </si>
  <si>
    <t>EUR/WMh</t>
  </si>
  <si>
    <t>%</t>
  </si>
  <si>
    <t>Power Price escalation</t>
  </si>
  <si>
    <t>Power Price in 2016</t>
  </si>
  <si>
    <t>1. Determine Max Debt Capacity</t>
  </si>
  <si>
    <t>2. Determine return for equity holders</t>
  </si>
  <si>
    <t>Minimum DSCR</t>
  </si>
  <si>
    <t>Maximum Leverage</t>
  </si>
  <si>
    <t>Internal Rate of Return</t>
  </si>
  <si>
    <t>Opex</t>
  </si>
  <si>
    <t>Debt Service</t>
  </si>
  <si>
    <t>Taxation</t>
  </si>
  <si>
    <t>Equity Cash Flow (dividends)</t>
  </si>
  <si>
    <t>MODEL</t>
  </si>
  <si>
    <t>Model output</t>
  </si>
  <si>
    <t>P90 equity CF</t>
  </si>
  <si>
    <t>P50 equity CF</t>
  </si>
  <si>
    <t>Base Case</t>
  </si>
  <si>
    <t>EUR/year</t>
  </si>
  <si>
    <t>dd/mm/yy</t>
  </si>
  <si>
    <t>Cash Flow Forecast Model YES-DC workshop</t>
  </si>
  <si>
    <t>Formulas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</si>
</sst>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_(* #,##0_);_(* \(#,##0\);_(* &quot;-&quot;??_);_(@_)"/>
    <numFmt numFmtId="166" formatCode="dd/mm/yy;@"/>
    <numFmt numFmtId="167" formatCode="#,##0_);\(#,##0\);&quot;-  &quot;;&quot; &quot;@"/>
    <numFmt numFmtId="168" formatCode="0.00%_);\-0.00%_);&quot;-  &quot;;&quot; &quot;@"/>
    <numFmt numFmtId="169" formatCode="#,##0.0000_);\(#,##0.0000\);&quot;-  &quot;;&quot; &quot;@"/>
    <numFmt numFmtId="170" formatCode="dd\ mmm\ yyyy_);;&quot;-  &quot;;&quot; &quot;@"/>
    <numFmt numFmtId="171" formatCode="dd\ mmm\ yy_);;&quot;-  &quot;;&quot; &quot;@"/>
    <numFmt numFmtId="172" formatCode="#,##0.0_);\(#,##0.0\);&quot;-  &quot;;&quot; &quot;@"/>
    <numFmt numFmtId="173" formatCode="#,##0.00_);\(#,##0.00\);&quot;-  &quot;;&quot; &quot;@"/>
    <numFmt numFmtId="174" formatCode="0.0%"/>
    <numFmt numFmtId="176" formatCode="0.00\ \x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.35"/>
      <name val="Calibri"/>
      <family val="2"/>
    </font>
    <font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167" fontId="0" fillId="0" borderId="0" applyFont="0" applyFill="0" applyBorder="0" applyProtection="0">
      <alignment vertical="top"/>
    </xf>
    <xf numFmtId="167" fontId="1" fillId="0" borderId="0" applyFont="0" applyFill="0" applyBorder="0" applyProtection="0">
      <alignment vertical="top"/>
    </xf>
    <xf numFmtId="168" fontId="1" fillId="0" borderId="0" applyFont="0" applyFill="0" applyBorder="0" applyProtection="0">
      <alignment vertical="top"/>
    </xf>
    <xf numFmtId="169" fontId="1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71" fontId="1" fillId="0" borderId="0" applyFont="0" applyFill="0" applyBorder="0" applyProtection="0">
      <alignment vertical="top"/>
    </xf>
  </cellStyleXfs>
  <cellXfs count="51">
    <xf numFmtId="167" fontId="0" fillId="0" borderId="0" xfId="0">
      <alignment vertical="top"/>
    </xf>
    <xf numFmtId="167" fontId="2" fillId="2" borderId="0" xfId="0" applyFont="1" applyFill="1">
      <alignment vertical="top"/>
    </xf>
    <xf numFmtId="167" fontId="0" fillId="2" borderId="0" xfId="0" applyFill="1">
      <alignment vertical="top"/>
    </xf>
    <xf numFmtId="165" fontId="0" fillId="2" borderId="0" xfId="1" applyNumberFormat="1" applyFont="1" applyFill="1">
      <alignment vertical="top"/>
    </xf>
    <xf numFmtId="167" fontId="4" fillId="2" borderId="0" xfId="0" applyFont="1" applyFill="1">
      <alignment vertical="top"/>
    </xf>
    <xf numFmtId="167" fontId="3" fillId="2" borderId="0" xfId="0" applyFont="1" applyFill="1">
      <alignment vertical="top"/>
    </xf>
    <xf numFmtId="167" fontId="0" fillId="2" borderId="0" xfId="0" applyFont="1" applyFill="1">
      <alignment vertical="top"/>
    </xf>
    <xf numFmtId="9" fontId="3" fillId="2" borderId="0" xfId="0" applyNumberFormat="1" applyFont="1" applyFill="1">
      <alignment vertical="top"/>
    </xf>
    <xf numFmtId="1" fontId="3" fillId="2" borderId="0" xfId="0" applyNumberFormat="1" applyFont="1" applyFill="1">
      <alignment vertical="top"/>
    </xf>
    <xf numFmtId="166" fontId="3" fillId="2" borderId="0" xfId="0" applyNumberFormat="1" applyFont="1" applyFill="1">
      <alignment vertical="top"/>
    </xf>
    <xf numFmtId="165" fontId="3" fillId="2" borderId="0" xfId="1" applyNumberFormat="1" applyFont="1" applyFill="1">
      <alignment vertical="top"/>
    </xf>
    <xf numFmtId="167" fontId="6" fillId="2" borderId="0" xfId="0" applyFont="1" applyFill="1">
      <alignment vertical="top"/>
    </xf>
    <xf numFmtId="167" fontId="7" fillId="2" borderId="0" xfId="0" applyFont="1" applyFill="1">
      <alignment vertical="top"/>
    </xf>
    <xf numFmtId="166" fontId="6" fillId="2" borderId="0" xfId="0" applyNumberFormat="1" applyFont="1" applyFill="1">
      <alignment vertical="top"/>
    </xf>
    <xf numFmtId="164" fontId="7" fillId="2" borderId="0" xfId="1" applyNumberFormat="1" applyFont="1" applyFill="1">
      <alignment vertical="top"/>
    </xf>
    <xf numFmtId="165" fontId="7" fillId="2" borderId="0" xfId="1" applyNumberFormat="1" applyFont="1" applyFill="1">
      <alignment vertical="top"/>
    </xf>
    <xf numFmtId="165" fontId="6" fillId="2" borderId="0" xfId="1" applyNumberFormat="1" applyFont="1" applyFill="1">
      <alignment vertical="top"/>
    </xf>
    <xf numFmtId="165" fontId="6" fillId="2" borderId="0" xfId="0" applyNumberFormat="1" applyFont="1" applyFill="1">
      <alignment vertical="top"/>
    </xf>
    <xf numFmtId="172" fontId="3" fillId="2" borderId="0" xfId="0" applyNumberFormat="1" applyFont="1" applyFill="1">
      <alignment vertical="top"/>
    </xf>
    <xf numFmtId="173" fontId="3" fillId="2" borderId="0" xfId="0" applyNumberFormat="1" applyFont="1" applyFill="1">
      <alignment vertical="top"/>
    </xf>
    <xf numFmtId="173" fontId="3" fillId="2" borderId="0" xfId="3" applyNumberFormat="1" applyFont="1" applyFill="1">
      <alignment vertical="top"/>
    </xf>
    <xf numFmtId="174" fontId="3" fillId="2" borderId="0" xfId="0" applyNumberFormat="1" applyFont="1" applyFill="1">
      <alignment vertical="top"/>
    </xf>
    <xf numFmtId="168" fontId="5" fillId="2" borderId="0" xfId="2" applyFont="1" applyFill="1" applyBorder="1">
      <alignment vertical="top"/>
    </xf>
    <xf numFmtId="167" fontId="6" fillId="0" borderId="0" xfId="0" applyFont="1" applyFill="1">
      <alignment vertical="top"/>
    </xf>
    <xf numFmtId="167" fontId="6" fillId="2" borderId="0" xfId="1" applyFont="1" applyFill="1">
      <alignment vertical="top"/>
    </xf>
    <xf numFmtId="167" fontId="3" fillId="2" borderId="0" xfId="1" applyFont="1" applyFill="1">
      <alignment vertical="top"/>
    </xf>
    <xf numFmtId="167" fontId="6" fillId="2" borderId="0" xfId="1" applyNumberFormat="1" applyFont="1" applyFill="1">
      <alignment vertical="top"/>
    </xf>
    <xf numFmtId="167" fontId="7" fillId="0" borderId="0" xfId="0" applyFont="1">
      <alignment vertical="top"/>
    </xf>
    <xf numFmtId="2" fontId="7" fillId="2" borderId="0" xfId="0" applyNumberFormat="1" applyFont="1" applyFill="1">
      <alignment vertical="top"/>
    </xf>
    <xf numFmtId="167" fontId="7" fillId="3" borderId="0" xfId="0" applyFont="1" applyFill="1">
      <alignment vertical="top"/>
    </xf>
    <xf numFmtId="165" fontId="7" fillId="2" borderId="0" xfId="0" applyNumberFormat="1" applyFont="1" applyFill="1">
      <alignment vertical="top"/>
    </xf>
    <xf numFmtId="9" fontId="7" fillId="2" borderId="0" xfId="0" applyNumberFormat="1" applyFont="1" applyFill="1">
      <alignment vertical="top"/>
    </xf>
    <xf numFmtId="167" fontId="3" fillId="2" borderId="1" xfId="1" applyFont="1" applyFill="1" applyBorder="1">
      <alignment vertical="top"/>
    </xf>
    <xf numFmtId="167" fontId="9" fillId="2" borderId="0" xfId="0" quotePrefix="1" applyFont="1" applyFill="1">
      <alignment vertical="top"/>
    </xf>
    <xf numFmtId="167" fontId="7" fillId="4" borderId="0" xfId="1" applyFont="1" applyFill="1" applyBorder="1">
      <alignment vertical="top"/>
    </xf>
    <xf numFmtId="167" fontId="7" fillId="4" borderId="0" xfId="0" applyFont="1" applyFill="1">
      <alignment vertical="top"/>
    </xf>
    <xf numFmtId="168" fontId="7" fillId="4" borderId="0" xfId="2" applyFont="1" applyFill="1" applyBorder="1">
      <alignment vertical="top"/>
    </xf>
    <xf numFmtId="176" fontId="7" fillId="2" borderId="0" xfId="1" applyNumberFormat="1" applyFont="1" applyFill="1">
      <alignment vertical="top"/>
    </xf>
    <xf numFmtId="167" fontId="9" fillId="2" borderId="0" xfId="0" applyFont="1" applyFill="1">
      <alignment vertical="top"/>
    </xf>
    <xf numFmtId="167" fontId="7" fillId="2" borderId="0" xfId="1" applyFont="1" applyFill="1">
      <alignment vertical="top"/>
    </xf>
    <xf numFmtId="9" fontId="0" fillId="2" borderId="0" xfId="0" applyNumberFormat="1" applyFill="1">
      <alignment vertical="top"/>
    </xf>
    <xf numFmtId="167" fontId="10" fillId="2" borderId="0" xfId="0" applyFont="1" applyFill="1">
      <alignment vertical="top"/>
    </xf>
    <xf numFmtId="176" fontId="7" fillId="4" borderId="0" xfId="1" applyNumberFormat="1" applyFont="1" applyFill="1">
      <alignment vertical="top"/>
    </xf>
    <xf numFmtId="167" fontId="11" fillId="2" borderId="0" xfId="0" applyFont="1" applyFill="1">
      <alignment vertical="top"/>
    </xf>
    <xf numFmtId="167" fontId="7" fillId="2" borderId="0" xfId="0" applyFont="1" applyFill="1" applyAlignment="1">
      <alignment horizontal="right" vertical="top"/>
    </xf>
    <xf numFmtId="168" fontId="3" fillId="4" borderId="0" xfId="2" applyFont="1" applyFill="1" applyBorder="1" applyAlignment="1">
      <alignment horizontal="right" vertical="top"/>
    </xf>
    <xf numFmtId="167" fontId="7" fillId="2" borderId="0" xfId="1" applyFont="1" applyFill="1" applyBorder="1">
      <alignment vertical="top"/>
    </xf>
    <xf numFmtId="9" fontId="3" fillId="4" borderId="0" xfId="0" applyNumberFormat="1" applyFont="1" applyFill="1" applyAlignment="1">
      <alignment horizontal="right" vertical="top"/>
    </xf>
    <xf numFmtId="167" fontId="6" fillId="2" borderId="0" xfId="0" applyFont="1" applyFill="1" applyAlignment="1">
      <alignment horizontal="right" vertical="top"/>
    </xf>
    <xf numFmtId="167" fontId="12" fillId="2" borderId="0" xfId="0" applyFont="1" applyFill="1">
      <alignment vertical="top"/>
    </xf>
    <xf numFmtId="173" fontId="7" fillId="2" borderId="0" xfId="0" applyNumberFormat="1" applyFont="1" applyFill="1">
      <alignment vertical="top"/>
    </xf>
  </cellXfs>
  <cellStyles count="6">
    <cellStyle name="Comma" xfId="1" builtinId="3" customBuiltin="1"/>
    <cellStyle name="DateLong" xfId="4"/>
    <cellStyle name="DateShort" xfId="5"/>
    <cellStyle name="Factor" xfId="3"/>
    <cellStyle name="Normal" xfId="0" builtinId="0" customBuiltin="1"/>
    <cellStyle name="Percent" xfId="2" builtinId="5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780057469536956E-2"/>
          <c:y val="8.1128784987210281E-2"/>
          <c:w val="0.96044316734362323"/>
          <c:h val="0.81998805228436045"/>
        </c:manualLayout>
      </c:layout>
      <c:areaChart>
        <c:grouping val="stacked"/>
        <c:varyColors val="0"/>
        <c:ser>
          <c:idx val="2"/>
          <c:order val="0"/>
          <c:tx>
            <c:strRef>
              <c:f>'Wind Model'!$B$79</c:f>
              <c:strCache>
                <c:ptCount val="1"/>
                <c:pt idx="0">
                  <c:v>Taxation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'Wind Model'!$C$76:$AA$76</c:f>
              <c:numCache>
                <c:formatCode>#,##0_);\(#,##0\);"-  ";" "@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'Wind Model'!$C$79:$AA$79</c:f>
              <c:numCache>
                <c:formatCode>#,##0_);\(#,##0\);"-  ";" "@</c:formatCode>
                <c:ptCount val="25"/>
                <c:pt idx="0">
                  <c:v>1803.6719364179758</c:v>
                </c:pt>
                <c:pt idx="1">
                  <c:v>1867.2548389259955</c:v>
                </c:pt>
                <c:pt idx="2">
                  <c:v>1935.0165354119572</c:v>
                </c:pt>
                <c:pt idx="3">
                  <c:v>2007.2004942314456</c:v>
                </c:pt>
                <c:pt idx="4">
                  <c:v>2084.063847193343</c:v>
                </c:pt>
                <c:pt idx="5">
                  <c:v>2165.8781465036263</c:v>
                </c:pt>
                <c:pt idx="6">
                  <c:v>2252.9301634501694</c:v>
                </c:pt>
                <c:pt idx="7">
                  <c:v>2345.5227311264466</c:v>
                </c:pt>
                <c:pt idx="8">
                  <c:v>2443.9756336185501</c:v>
                </c:pt>
                <c:pt idx="9">
                  <c:v>2548.6265442132217</c:v>
                </c:pt>
                <c:pt idx="10">
                  <c:v>2659.8320153254117</c:v>
                </c:pt>
                <c:pt idx="11">
                  <c:v>2777.9685229922816</c:v>
                </c:pt>
                <c:pt idx="12">
                  <c:v>2903.4335689372074</c:v>
                </c:pt>
                <c:pt idx="13">
                  <c:v>3036.6468433726104</c:v>
                </c:pt>
                <c:pt idx="14">
                  <c:v>3178.0514518847385</c:v>
                </c:pt>
                <c:pt idx="15">
                  <c:v>838.15426625447162</c:v>
                </c:pt>
                <c:pt idx="16">
                  <c:v>869.82283265289971</c:v>
                </c:pt>
                <c:pt idx="17">
                  <c:v>901.83535259539713</c:v>
                </c:pt>
                <c:pt idx="18">
                  <c:v>934.19436388608619</c:v>
                </c:pt>
                <c:pt idx="19">
                  <c:v>966.90238996617063</c:v>
                </c:pt>
                <c:pt idx="20">
                  <c:v>999.96193864989255</c:v>
                </c:pt>
                <c:pt idx="21">
                  <c:v>1033.3755008205544</c:v>
                </c:pt>
                <c:pt idx="22">
                  <c:v>1067.1455490855942</c:v>
                </c:pt>
                <c:pt idx="23">
                  <c:v>1101.2745363896652</c:v>
                </c:pt>
                <c:pt idx="24">
                  <c:v>1135.7648945846527</c:v>
                </c:pt>
              </c:numCache>
            </c:numRef>
          </c:val>
        </c:ser>
        <c:ser>
          <c:idx val="3"/>
          <c:order val="1"/>
          <c:tx>
            <c:strRef>
              <c:f>'Wind Model'!$B$80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'Wind Model'!$C$76:$AA$76</c:f>
              <c:numCache>
                <c:formatCode>#,##0_);\(#,##0\);"-  ";" "@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'Wind Model'!$C$80:$AA$80</c:f>
              <c:numCache>
                <c:formatCode>#,##0_);\(#,##0\);"-  ";" "@</c:formatCode>
                <c:ptCount val="25"/>
                <c:pt idx="0">
                  <c:v>3895.6247999999996</c:v>
                </c:pt>
                <c:pt idx="1">
                  <c:v>3973.537296</c:v>
                </c:pt>
                <c:pt idx="2">
                  <c:v>4053.0080419199999</c:v>
                </c:pt>
                <c:pt idx="3">
                  <c:v>4134.0682027583998</c:v>
                </c:pt>
                <c:pt idx="4">
                  <c:v>4216.7495668135689</c:v>
                </c:pt>
                <c:pt idx="5">
                  <c:v>4301.0845581498397</c:v>
                </c:pt>
                <c:pt idx="6">
                  <c:v>4387.1062493128356</c:v>
                </c:pt>
                <c:pt idx="7">
                  <c:v>4474.8483742990929</c:v>
                </c:pt>
                <c:pt idx="8">
                  <c:v>4564.3453417850742</c:v>
                </c:pt>
                <c:pt idx="9">
                  <c:v>4655.6322486207755</c:v>
                </c:pt>
                <c:pt idx="10">
                  <c:v>4748.7448935931907</c:v>
                </c:pt>
                <c:pt idx="11">
                  <c:v>4843.7197914650551</c:v>
                </c:pt>
                <c:pt idx="12">
                  <c:v>4940.5941872943567</c:v>
                </c:pt>
                <c:pt idx="13">
                  <c:v>5039.4060710402437</c:v>
                </c:pt>
                <c:pt idx="14">
                  <c:v>5140.1941924610474</c:v>
                </c:pt>
                <c:pt idx="15">
                  <c:v>5242.9980763102685</c:v>
                </c:pt>
                <c:pt idx="16">
                  <c:v>5347.858037836475</c:v>
                </c:pt>
                <c:pt idx="17">
                  <c:v>5454.8151985932036</c:v>
                </c:pt>
                <c:pt idx="18">
                  <c:v>5563.9115025650681</c:v>
                </c:pt>
                <c:pt idx="19">
                  <c:v>5675.1897326163698</c:v>
                </c:pt>
                <c:pt idx="20">
                  <c:v>5788.6935272686969</c:v>
                </c:pt>
                <c:pt idx="21">
                  <c:v>5904.4673978140709</c:v>
                </c:pt>
                <c:pt idx="22">
                  <c:v>6022.556745770351</c:v>
                </c:pt>
                <c:pt idx="23">
                  <c:v>6143.0078806857582</c:v>
                </c:pt>
                <c:pt idx="24">
                  <c:v>6265.8680382994735</c:v>
                </c:pt>
              </c:numCache>
            </c:numRef>
          </c:val>
        </c:ser>
        <c:ser>
          <c:idx val="1"/>
          <c:order val="2"/>
          <c:tx>
            <c:strRef>
              <c:f>'Wind Model'!$B$78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E2EA7E"/>
            </a:solidFill>
            <a:ln w="25400">
              <a:noFill/>
            </a:ln>
            <a:effectLst/>
          </c:spPr>
          <c:cat>
            <c:numRef>
              <c:f>'Wind Model'!$C$76:$AA$76</c:f>
              <c:numCache>
                <c:formatCode>#,##0_);\(#,##0\);"-  ";" "@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'Wind Model'!$C$78:$AA$78</c:f>
              <c:numCache>
                <c:formatCode>#,##0_);\(#,##0\);"-  ";" "@</c:formatCode>
                <c:ptCount val="25"/>
                <c:pt idx="0">
                  <c:v>12782.889382184108</c:v>
                </c:pt>
                <c:pt idx="1">
                  <c:v>12782.889382184108</c:v>
                </c:pt>
                <c:pt idx="2">
                  <c:v>12782.889382184108</c:v>
                </c:pt>
                <c:pt idx="3">
                  <c:v>12782.889382184108</c:v>
                </c:pt>
                <c:pt idx="4">
                  <c:v>12782.889382184108</c:v>
                </c:pt>
                <c:pt idx="5">
                  <c:v>12782.889382184108</c:v>
                </c:pt>
                <c:pt idx="6">
                  <c:v>12782.889382184108</c:v>
                </c:pt>
                <c:pt idx="7">
                  <c:v>12782.889382184108</c:v>
                </c:pt>
                <c:pt idx="8">
                  <c:v>12782.889382184108</c:v>
                </c:pt>
                <c:pt idx="9">
                  <c:v>12782.889382184108</c:v>
                </c:pt>
                <c:pt idx="10">
                  <c:v>12782.889382184108</c:v>
                </c:pt>
                <c:pt idx="11">
                  <c:v>12782.889382184108</c:v>
                </c:pt>
                <c:pt idx="12">
                  <c:v>12782.889382184108</c:v>
                </c:pt>
                <c:pt idx="13">
                  <c:v>12782.889382184108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0"/>
          <c:order val="3"/>
          <c:tx>
            <c:strRef>
              <c:f>'Wind Model'!$B$77</c:f>
              <c:strCache>
                <c:ptCount val="1"/>
                <c:pt idx="0">
                  <c:v>Equity Cash Flow (dividends)</c:v>
                </c:pt>
              </c:strCache>
            </c:strRef>
          </c:tx>
          <c:spPr>
            <a:solidFill>
              <a:srgbClr val="81DBD5"/>
            </a:solidFill>
            <a:ln w="25400">
              <a:noFill/>
            </a:ln>
            <a:effectLst/>
          </c:spPr>
          <c:cat>
            <c:numRef>
              <c:f>'Wind Model'!$C$76:$AA$76</c:f>
              <c:numCache>
                <c:formatCode>#,##0_);\(#,##0\);"-  ";" "@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'Wind Model'!$C$77:$AA$77</c:f>
              <c:numCache>
                <c:formatCode>#,##0_);\(#,##0\);"-  ";" "@</c:formatCode>
                <c:ptCount val="25"/>
                <c:pt idx="0">
                  <c:v>6210.2138813979182</c:v>
                </c:pt>
                <c:pt idx="1">
                  <c:v>6068.7184828899017</c:v>
                </c:pt>
                <c:pt idx="2">
                  <c:v>5921.4860404839383</c:v>
                </c:pt>
                <c:pt idx="3">
                  <c:v>5768.2419208260471</c:v>
                </c:pt>
                <c:pt idx="4">
                  <c:v>5608.6972038089843</c:v>
                </c:pt>
                <c:pt idx="5">
                  <c:v>5442.5479131624279</c:v>
                </c:pt>
                <c:pt idx="6">
                  <c:v>5269.4742050528912</c:v>
                </c:pt>
                <c:pt idx="7">
                  <c:v>5089.139512390353</c:v>
                </c:pt>
                <c:pt idx="8">
                  <c:v>4901.1896424122669</c:v>
                </c:pt>
                <c:pt idx="9">
                  <c:v>4705.2518249818959</c:v>
                </c:pt>
                <c:pt idx="10">
                  <c:v>4500.9337088972934</c:v>
                </c:pt>
                <c:pt idx="11">
                  <c:v>4287.8223033585555</c:v>
                </c:pt>
                <c:pt idx="12">
                  <c:v>4065.4828615843253</c:v>
                </c:pt>
                <c:pt idx="13">
                  <c:v>3833.4577034030367</c:v>
                </c:pt>
                <c:pt idx="14">
                  <c:v>16374.154355654216</c:v>
                </c:pt>
                <c:pt idx="15">
                  <c:v>9354.4627987634158</c:v>
                </c:pt>
                <c:pt idx="16">
                  <c:v>9449.4684979587</c:v>
                </c:pt>
                <c:pt idx="17">
                  <c:v>9545.5060577861914</c:v>
                </c:pt>
                <c:pt idx="18">
                  <c:v>9642.5830916582581</c:v>
                </c:pt>
                <c:pt idx="19">
                  <c:v>9740.7071698985128</c:v>
                </c:pt>
                <c:pt idx="20">
                  <c:v>9839.8858159496776</c:v>
                </c:pt>
                <c:pt idx="21">
                  <c:v>9940.1265024616623</c:v>
                </c:pt>
                <c:pt idx="22">
                  <c:v>10041.436647256782</c:v>
                </c:pt>
                <c:pt idx="23">
                  <c:v>10143.823609168996</c:v>
                </c:pt>
                <c:pt idx="24">
                  <c:v>10247.294683753958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08224"/>
        <c:axId val="230507832"/>
      </c:areaChart>
      <c:lineChart>
        <c:grouping val="standard"/>
        <c:varyColors val="0"/>
        <c:ser>
          <c:idx val="4"/>
          <c:order val="4"/>
          <c:tx>
            <c:strRef>
              <c:f>'Wind Model'!$B$81</c:f>
              <c:strCache>
                <c:ptCount val="1"/>
                <c:pt idx="0">
                  <c:v>DSCR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'Wind Model'!$C$81:$P$81</c:f>
              <c:numCache>
                <c:formatCode>#,##0.00_);\(#,##0.00\);"-  ";" "@</c:formatCode>
                <c:ptCount val="14"/>
                <c:pt idx="0">
                  <c:v>1.4858223908323323</c:v>
                </c:pt>
                <c:pt idx="1">
                  <c:v>1.474753265982889</c:v>
                </c:pt>
                <c:pt idx="2">
                  <c:v>1.4632353346291871</c:v>
                </c:pt>
                <c:pt idx="3">
                  <c:v>1.4512471123207416</c:v>
                </c:pt>
                <c:pt idx="4">
                  <c:v>1.4387659969604363</c:v>
                </c:pt>
                <c:pt idx="5">
                  <c:v>1.4257682086139201</c:v>
                </c:pt>
                <c:pt idx="6">
                  <c:v>1.4122287260341244</c:v>
                </c:pt>
                <c:pt idx="7">
                  <c:v>1.3981212197207338</c:v>
                </c:pt>
                <c:pt idx="8">
                  <c:v>1.3834179813245666</c:v>
                </c:pt>
                <c:pt idx="9">
                  <c:v>1.3680898491963598</c:v>
                </c:pt>
                <c:pt idx="10">
                  <c:v>1.3521061298684458</c:v>
                </c:pt>
                <c:pt idx="11">
                  <c:v>1.3354345152461868</c:v>
                </c:pt>
                <c:pt idx="12">
                  <c:v>1.3180409952737688</c:v>
                </c:pt>
                <c:pt idx="13">
                  <c:v>1.2998897658260142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15288"/>
        <c:axId val="231816072"/>
      </c:lineChart>
      <c:catAx>
        <c:axId val="230508224"/>
        <c:scaling>
          <c:orientation val="minMax"/>
        </c:scaling>
        <c:delete val="0"/>
        <c:axPos val="b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8879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54646C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7832"/>
        <c:crosses val="autoZero"/>
        <c:auto val="1"/>
        <c:lblAlgn val="ctr"/>
        <c:lblOffset val="100"/>
        <c:noMultiLvlLbl val="0"/>
      </c:catAx>
      <c:valAx>
        <c:axId val="230507832"/>
        <c:scaling>
          <c:orientation val="minMax"/>
        </c:scaling>
        <c:delete val="0"/>
        <c:axPos val="l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8879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54646C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8224"/>
        <c:crosses val="autoZero"/>
        <c:crossBetween val="between"/>
      </c:valAx>
      <c:valAx>
        <c:axId val="231816072"/>
        <c:scaling>
          <c:orientation val="minMax"/>
        </c:scaling>
        <c:delete val="0"/>
        <c:axPos val="r"/>
        <c:numFmt formatCode="#,##0.00_);\(#,##0.00\);&quot;-  &quot;;&quot; &quot;@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815288"/>
        <c:crosses val="max"/>
        <c:crossBetween val="between"/>
      </c:valAx>
      <c:catAx>
        <c:axId val="23181528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816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5065897051869838E-2"/>
          <c:y val="0.9432019576660442"/>
          <c:w val="0.83041989451472398"/>
          <c:h val="5.6798042333955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54646C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54646C">
              <a:lumMod val="15000"/>
              <a:lumOff val="85000"/>
            </a:srgb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780057469536956E-2"/>
          <c:y val="8.1128784987210281E-2"/>
          <c:w val="0.96044316734362323"/>
          <c:h val="0.81998805228436045"/>
        </c:manualLayout>
      </c:layout>
      <c:areaChart>
        <c:grouping val="stacked"/>
        <c:varyColors val="0"/>
        <c:ser>
          <c:idx val="2"/>
          <c:order val="0"/>
          <c:tx>
            <c:strRef>
              <c:f>'Wind Model'!$B$106</c:f>
              <c:strCache>
                <c:ptCount val="1"/>
                <c:pt idx="0">
                  <c:v>Year</c:v>
                </c:pt>
              </c:strCache>
            </c:strRef>
          </c:tx>
          <c:spPr>
            <a:solidFill>
              <a:srgbClr val="009286"/>
            </a:solidFill>
            <a:ln w="25400">
              <a:noFill/>
            </a:ln>
            <a:effectLst/>
          </c:spPr>
          <c:val>
            <c:numRef>
              <c:f>'Wind Model'!$C$106:$XFD$106</c:f>
              <c:numCache>
                <c:formatCode>#,##0_);\(#,##0\);"-  ";" "@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val>
        </c:ser>
        <c:ser>
          <c:idx val="4"/>
          <c:order val="2"/>
          <c:tx>
            <c:strRef>
              <c:f>'Wind Model'!$B$110</c:f>
              <c:strCache>
                <c:ptCount val="1"/>
                <c:pt idx="0">
                  <c:v>Taxation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'Wind Model'!$C$110:$XFD$110</c:f>
              <c:numCache>
                <c:formatCode>#,##0_);\(#,##0\);"-  ";" "@</c:formatCode>
                <c:ptCount val="25"/>
                <c:pt idx="0">
                  <c:v>1803.6719364179758</c:v>
                </c:pt>
                <c:pt idx="1">
                  <c:v>1867.2548389259955</c:v>
                </c:pt>
                <c:pt idx="2">
                  <c:v>1935.0165354119572</c:v>
                </c:pt>
                <c:pt idx="3">
                  <c:v>2007.2004942314456</c:v>
                </c:pt>
                <c:pt idx="4">
                  <c:v>2084.063847193343</c:v>
                </c:pt>
                <c:pt idx="5">
                  <c:v>2165.8781465036263</c:v>
                </c:pt>
                <c:pt idx="6">
                  <c:v>2252.9301634501694</c:v>
                </c:pt>
                <c:pt idx="7">
                  <c:v>2345.5227311264466</c:v>
                </c:pt>
                <c:pt idx="8">
                  <c:v>2443.9756336185501</c:v>
                </c:pt>
                <c:pt idx="9">
                  <c:v>2548.6265442132217</c:v>
                </c:pt>
                <c:pt idx="10">
                  <c:v>2659.8320153254117</c:v>
                </c:pt>
                <c:pt idx="11">
                  <c:v>2777.9685229922816</c:v>
                </c:pt>
                <c:pt idx="12">
                  <c:v>2903.4335689372074</c:v>
                </c:pt>
                <c:pt idx="13">
                  <c:v>3036.6468433726104</c:v>
                </c:pt>
                <c:pt idx="14">
                  <c:v>3178.0514518847385</c:v>
                </c:pt>
                <c:pt idx="15">
                  <c:v>838.15426625447162</c:v>
                </c:pt>
                <c:pt idx="16">
                  <c:v>869.82283265289971</c:v>
                </c:pt>
                <c:pt idx="17">
                  <c:v>901.83535259539713</c:v>
                </c:pt>
                <c:pt idx="18">
                  <c:v>934.19436388608619</c:v>
                </c:pt>
                <c:pt idx="19">
                  <c:v>966.90238996617063</c:v>
                </c:pt>
                <c:pt idx="20">
                  <c:v>999.96193864989255</c:v>
                </c:pt>
                <c:pt idx="21">
                  <c:v>1033.3755008205544</c:v>
                </c:pt>
                <c:pt idx="22">
                  <c:v>1067.1455490855942</c:v>
                </c:pt>
                <c:pt idx="23">
                  <c:v>1101.2745363896652</c:v>
                </c:pt>
                <c:pt idx="24">
                  <c:v>1135.7648945846527</c:v>
                </c:pt>
              </c:numCache>
            </c:numRef>
          </c:val>
        </c:ser>
        <c:ser>
          <c:idx val="5"/>
          <c:order val="3"/>
          <c:tx>
            <c:strRef>
              <c:f>'Wind Model'!$B$111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'Wind Model'!$C$111:$XFD$111</c:f>
              <c:numCache>
                <c:formatCode>#,##0_);\(#,##0\);"-  ";" "@</c:formatCode>
                <c:ptCount val="25"/>
                <c:pt idx="0">
                  <c:v>3895.6247999999996</c:v>
                </c:pt>
                <c:pt idx="1">
                  <c:v>3973.537296</c:v>
                </c:pt>
                <c:pt idx="2">
                  <c:v>4053.0080419199999</c:v>
                </c:pt>
                <c:pt idx="3">
                  <c:v>4134.0682027583998</c:v>
                </c:pt>
                <c:pt idx="4">
                  <c:v>4216.7495668135689</c:v>
                </c:pt>
                <c:pt idx="5">
                  <c:v>4301.0845581498397</c:v>
                </c:pt>
                <c:pt idx="6">
                  <c:v>4387.1062493128356</c:v>
                </c:pt>
                <c:pt idx="7">
                  <c:v>4474.8483742990929</c:v>
                </c:pt>
                <c:pt idx="8">
                  <c:v>4564.3453417850742</c:v>
                </c:pt>
                <c:pt idx="9">
                  <c:v>4655.6322486207755</c:v>
                </c:pt>
                <c:pt idx="10">
                  <c:v>4748.7448935931907</c:v>
                </c:pt>
                <c:pt idx="11">
                  <c:v>4843.7197914650551</c:v>
                </c:pt>
                <c:pt idx="12">
                  <c:v>4940.5941872943567</c:v>
                </c:pt>
                <c:pt idx="13">
                  <c:v>5039.4060710402437</c:v>
                </c:pt>
                <c:pt idx="14">
                  <c:v>5140.1941924610474</c:v>
                </c:pt>
                <c:pt idx="15">
                  <c:v>5242.9980763102685</c:v>
                </c:pt>
                <c:pt idx="16">
                  <c:v>5347.858037836475</c:v>
                </c:pt>
                <c:pt idx="17">
                  <c:v>5454.8151985932036</c:v>
                </c:pt>
                <c:pt idx="18">
                  <c:v>5563.9115025650681</c:v>
                </c:pt>
                <c:pt idx="19">
                  <c:v>5675.1897326163698</c:v>
                </c:pt>
                <c:pt idx="20">
                  <c:v>5788.6935272686969</c:v>
                </c:pt>
                <c:pt idx="21">
                  <c:v>5904.4673978140709</c:v>
                </c:pt>
                <c:pt idx="22">
                  <c:v>6022.556745770351</c:v>
                </c:pt>
                <c:pt idx="23">
                  <c:v>6143.0078806857582</c:v>
                </c:pt>
                <c:pt idx="24">
                  <c:v>6265.8680382994735</c:v>
                </c:pt>
              </c:numCache>
            </c:numRef>
          </c:val>
        </c:ser>
        <c:ser>
          <c:idx val="0"/>
          <c:order val="4"/>
          <c:tx>
            <c:strRef>
              <c:f>'Wind Model'!$B$109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'Wind Model'!$C$109:$XFD$109</c:f>
              <c:numCache>
                <c:formatCode>#,##0_);\(#,##0\);"-  ";" "@</c:formatCode>
                <c:ptCount val="25"/>
                <c:pt idx="0">
                  <c:v>12782.889382184108</c:v>
                </c:pt>
                <c:pt idx="1">
                  <c:v>12782.889382184108</c:v>
                </c:pt>
                <c:pt idx="2">
                  <c:v>12782.889382184108</c:v>
                </c:pt>
                <c:pt idx="3">
                  <c:v>12782.889382184108</c:v>
                </c:pt>
                <c:pt idx="4">
                  <c:v>12782.889382184108</c:v>
                </c:pt>
                <c:pt idx="5">
                  <c:v>12782.889382184108</c:v>
                </c:pt>
                <c:pt idx="6">
                  <c:v>12782.889382184108</c:v>
                </c:pt>
                <c:pt idx="7">
                  <c:v>12782.889382184108</c:v>
                </c:pt>
                <c:pt idx="8">
                  <c:v>12782.889382184108</c:v>
                </c:pt>
                <c:pt idx="9">
                  <c:v>12782.889382184108</c:v>
                </c:pt>
                <c:pt idx="10">
                  <c:v>12782.889382184108</c:v>
                </c:pt>
                <c:pt idx="11">
                  <c:v>12782.889382184108</c:v>
                </c:pt>
                <c:pt idx="12">
                  <c:v>12782.889382184108</c:v>
                </c:pt>
                <c:pt idx="13">
                  <c:v>12782.889382184108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5"/>
          <c:tx>
            <c:strRef>
              <c:f>'Wind Model'!$B$108</c:f>
              <c:strCache>
                <c:ptCount val="1"/>
                <c:pt idx="0">
                  <c:v>P90 equity CF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'Wind Model'!$C$108:$XFD$108</c:f>
              <c:numCache>
                <c:formatCode>#,##0_);\(#,##0\);"-  ";" "@</c:formatCode>
                <c:ptCount val="25"/>
                <c:pt idx="0">
                  <c:v>6210.2138813979182</c:v>
                </c:pt>
                <c:pt idx="1">
                  <c:v>6068.7184828899017</c:v>
                </c:pt>
                <c:pt idx="2">
                  <c:v>5921.4860404839383</c:v>
                </c:pt>
                <c:pt idx="3">
                  <c:v>5768.2419208260471</c:v>
                </c:pt>
                <c:pt idx="4">
                  <c:v>5608.6972038089843</c:v>
                </c:pt>
                <c:pt idx="5">
                  <c:v>5442.5479131624279</c:v>
                </c:pt>
                <c:pt idx="6">
                  <c:v>5269.4742050528912</c:v>
                </c:pt>
                <c:pt idx="7">
                  <c:v>5089.139512390353</c:v>
                </c:pt>
                <c:pt idx="8">
                  <c:v>4901.1896424122669</c:v>
                </c:pt>
                <c:pt idx="9">
                  <c:v>4705.2518249818959</c:v>
                </c:pt>
                <c:pt idx="10">
                  <c:v>4500.9337088972934</c:v>
                </c:pt>
                <c:pt idx="11">
                  <c:v>4287.8223033585555</c:v>
                </c:pt>
                <c:pt idx="12">
                  <c:v>4065.4828615843253</c:v>
                </c:pt>
                <c:pt idx="13">
                  <c:v>3833.4577034030367</c:v>
                </c:pt>
                <c:pt idx="14">
                  <c:v>16374.154355654216</c:v>
                </c:pt>
                <c:pt idx="15">
                  <c:v>9354.4627987634158</c:v>
                </c:pt>
                <c:pt idx="16">
                  <c:v>9449.4684979587</c:v>
                </c:pt>
                <c:pt idx="17">
                  <c:v>9545.5060577861914</c:v>
                </c:pt>
                <c:pt idx="18">
                  <c:v>9642.5830916582581</c:v>
                </c:pt>
                <c:pt idx="19">
                  <c:v>9740.7071698985128</c:v>
                </c:pt>
                <c:pt idx="20">
                  <c:v>9839.8858159496776</c:v>
                </c:pt>
                <c:pt idx="21">
                  <c:v>9940.1265024616623</c:v>
                </c:pt>
                <c:pt idx="22">
                  <c:v>10041.436647256782</c:v>
                </c:pt>
                <c:pt idx="23">
                  <c:v>10143.823609168996</c:v>
                </c:pt>
                <c:pt idx="24">
                  <c:v>10247.294683753958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16856"/>
        <c:axId val="232700304"/>
      </c:areaChart>
      <c:lineChart>
        <c:grouping val="standard"/>
        <c:varyColors val="0"/>
        <c:ser>
          <c:idx val="3"/>
          <c:order val="1"/>
          <c:tx>
            <c:strRef>
              <c:f>'Wind Model'!$B$107</c:f>
              <c:strCache>
                <c:ptCount val="1"/>
                <c:pt idx="0">
                  <c:v>P50 equity CF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'Wind Model'!$C$107:$XFD$107</c:f>
              <c:numCache>
                <c:formatCode>#,##0_);\(#,##0\);"-  ";" "@</c:formatCode>
                <c:ptCount val="25"/>
                <c:pt idx="0">
                  <c:v>26489.028600000001</c:v>
                </c:pt>
                <c:pt idx="1">
                  <c:v>26484.947172000004</c:v>
                </c:pt>
                <c:pt idx="2">
                  <c:v>26480.784115439998</c:v>
                </c:pt>
                <c:pt idx="3">
                  <c:v>26476.537797748799</c:v>
                </c:pt>
                <c:pt idx="4">
                  <c:v>26472.206553703778</c:v>
                </c:pt>
                <c:pt idx="5">
                  <c:v>26467.78868477785</c:v>
                </c:pt>
                <c:pt idx="6">
                  <c:v>26463.282458473408</c:v>
                </c:pt>
                <c:pt idx="7">
                  <c:v>26458.686107642876</c:v>
                </c:pt>
                <c:pt idx="8">
                  <c:v>26453.997829795735</c:v>
                </c:pt>
                <c:pt idx="9">
                  <c:v>26449.215786391647</c:v>
                </c:pt>
                <c:pt idx="10">
                  <c:v>26444.338102119484</c:v>
                </c:pt>
                <c:pt idx="11">
                  <c:v>26439.362864161871</c:v>
                </c:pt>
                <c:pt idx="12">
                  <c:v>26434.288121445108</c:v>
                </c:pt>
                <c:pt idx="13">
                  <c:v>26429.111883874011</c:v>
                </c:pt>
                <c:pt idx="14">
                  <c:v>26423.832121551492</c:v>
                </c:pt>
                <c:pt idx="15">
                  <c:v>16411.63155318837</c:v>
                </c:pt>
                <c:pt idx="16">
                  <c:v>16656.432760306107</c:v>
                </c:pt>
                <c:pt idx="17">
                  <c:v>16904.878520207007</c:v>
                </c:pt>
                <c:pt idx="18">
                  <c:v>17157.022951876348</c:v>
                </c:pt>
                <c:pt idx="19">
                  <c:v>17412.920975098055</c:v>
                </c:pt>
                <c:pt idx="20">
                  <c:v>17672.628322246954</c:v>
                </c:pt>
                <c:pt idx="21">
                  <c:v>17936.201550253536</c:v>
                </c:pt>
                <c:pt idx="22">
                  <c:v>18203.698052743679</c:v>
                </c:pt>
                <c:pt idx="23">
                  <c:v>18475.176072355898</c:v>
                </c:pt>
                <c:pt idx="24">
                  <c:v>18750.694713238721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16856"/>
        <c:axId val="232700304"/>
      </c:lineChart>
      <c:lineChart>
        <c:grouping val="standard"/>
        <c:varyColors val="0"/>
        <c:ser>
          <c:idx val="6"/>
          <c:order val="6"/>
          <c:tx>
            <c:strRef>
              <c:f>'Wind Model'!$B$112</c:f>
              <c:strCache>
                <c:ptCount val="1"/>
                <c:pt idx="0">
                  <c:v>DSCR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'Wind Model'!$C$112:$P$112</c:f>
              <c:numCache>
                <c:formatCode>#,##0.00_);\(#,##0.00\);"-  ";" "@</c:formatCode>
                <c:ptCount val="14"/>
                <c:pt idx="0">
                  <c:v>1.4858223908323323</c:v>
                </c:pt>
                <c:pt idx="1">
                  <c:v>1.474753265982889</c:v>
                </c:pt>
                <c:pt idx="2">
                  <c:v>1.4632353346291871</c:v>
                </c:pt>
                <c:pt idx="3">
                  <c:v>1.4512471123207416</c:v>
                </c:pt>
                <c:pt idx="4">
                  <c:v>1.4387659969604363</c:v>
                </c:pt>
                <c:pt idx="5">
                  <c:v>1.4257682086139201</c:v>
                </c:pt>
                <c:pt idx="6">
                  <c:v>1.4122287260341244</c:v>
                </c:pt>
                <c:pt idx="7">
                  <c:v>1.3981212197207338</c:v>
                </c:pt>
                <c:pt idx="8">
                  <c:v>1.3834179813245666</c:v>
                </c:pt>
                <c:pt idx="9">
                  <c:v>1.3680898491963598</c:v>
                </c:pt>
                <c:pt idx="10">
                  <c:v>1.3521061298684458</c:v>
                </c:pt>
                <c:pt idx="11">
                  <c:v>1.3354345152461868</c:v>
                </c:pt>
                <c:pt idx="12">
                  <c:v>1.3180409952737688</c:v>
                </c:pt>
                <c:pt idx="13">
                  <c:v>1.2998897658260142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01088"/>
        <c:axId val="232700696"/>
      </c:lineChart>
      <c:catAx>
        <c:axId val="231816856"/>
        <c:scaling>
          <c:orientation val="minMax"/>
        </c:scaling>
        <c:delete val="0"/>
        <c:axPos val="b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8879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54646C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00304"/>
        <c:crosses val="autoZero"/>
        <c:auto val="1"/>
        <c:lblAlgn val="ctr"/>
        <c:lblOffset val="100"/>
        <c:noMultiLvlLbl val="0"/>
      </c:catAx>
      <c:valAx>
        <c:axId val="232700304"/>
        <c:scaling>
          <c:orientation val="minMax"/>
        </c:scaling>
        <c:delete val="0"/>
        <c:axPos val="l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8879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54646C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816856"/>
        <c:crosses val="autoZero"/>
        <c:crossBetween val="between"/>
      </c:valAx>
      <c:valAx>
        <c:axId val="232700696"/>
        <c:scaling>
          <c:orientation val="minMax"/>
        </c:scaling>
        <c:delete val="0"/>
        <c:axPos val="r"/>
        <c:numFmt formatCode="#,##0.00_);\(#,##0.00\);&quot;-  &quot;;&quot; &quot;@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701088"/>
        <c:crosses val="max"/>
        <c:crossBetween val="between"/>
      </c:valAx>
      <c:catAx>
        <c:axId val="23270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232700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868097688870612E-2"/>
          <c:y val="0.9432019576660442"/>
          <c:w val="0.98313190231112924"/>
          <c:h val="5.09848588714638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54646C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54646C">
              <a:lumMod val="15000"/>
              <a:lumOff val="85000"/>
            </a:srgb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9525</xdr:rowOff>
    </xdr:from>
    <xdr:to>
      <xdr:col>14</xdr:col>
      <xdr:colOff>571500</xdr:colOff>
      <xdr:row>7</xdr:row>
      <xdr:rowOff>57150</xdr:rowOff>
    </xdr:to>
    <xdr:sp macro="" textlink="">
      <xdr:nvSpPr>
        <xdr:cNvPr id="2" name="TextBox 1"/>
        <xdr:cNvSpPr txBox="1"/>
      </xdr:nvSpPr>
      <xdr:spPr>
        <a:xfrm>
          <a:off x="8591550" y="276225"/>
          <a:ext cx="6000750" cy="1190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Guidelines</a:t>
          </a:r>
        </a:p>
        <a:p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Finish all yellow shaded fields in order to properly analyze the investment and financing opportunity?</a:t>
          </a:r>
        </a:p>
        <a:p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What is the maximum leverage if the Minimum DSCR is 1.30X?</a:t>
          </a:r>
        </a:p>
        <a:p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What repayment method would you prefer?</a:t>
          </a:r>
          <a:r>
            <a:rPr lang="en-GB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(linear, annuity, other)</a:t>
          </a:r>
          <a:endParaRPr lang="en-GB" sz="11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Which measures might be taken by the Bank to minimize the risk of debt finance?</a:t>
          </a:r>
        </a:p>
        <a:p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What capital structure would an investor</a:t>
          </a:r>
          <a:r>
            <a:rPr lang="en-GB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prefer to optimize return on investment?</a:t>
          </a:r>
          <a:endParaRPr lang="en-GB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3886803</xdr:colOff>
      <xdr:row>86</xdr:row>
      <xdr:rowOff>13188</xdr:rowOff>
    </xdr:from>
    <xdr:to>
      <xdr:col>9</xdr:col>
      <xdr:colOff>205110</xdr:colOff>
      <xdr:row>103</xdr:row>
      <xdr:rowOff>94151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9</xdr:col>
      <xdr:colOff>358588</xdr:colOff>
      <xdr:row>134</xdr:row>
      <xdr:rowOff>78441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BN AMRO 2013">
      <a:dk1>
        <a:srgbClr val="54646C"/>
      </a:dk1>
      <a:lt1>
        <a:srgbClr val="FFFFFF"/>
      </a:lt1>
      <a:dk2>
        <a:srgbClr val="888E96"/>
      </a:dk2>
      <a:lt2>
        <a:srgbClr val="E5E6E7"/>
      </a:lt2>
      <a:accent1>
        <a:srgbClr val="007F75"/>
      </a:accent1>
      <a:accent2>
        <a:srgbClr val="8DC63F"/>
      </a:accent2>
      <a:accent3>
        <a:srgbClr val="E2EA7E"/>
      </a:accent3>
      <a:accent4>
        <a:srgbClr val="C7EFEC"/>
      </a:accent4>
      <a:accent5>
        <a:srgbClr val="81DBD5"/>
      </a:accent5>
      <a:accent6>
        <a:srgbClr val="35BDB2"/>
      </a:accent6>
      <a:hlink>
        <a:srgbClr val="006480"/>
      </a:hlink>
      <a:folHlink>
        <a:srgbClr val="E6591A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12"/>
  <sheetViews>
    <sheetView tabSelected="1" zoomScale="85" zoomScaleNormal="85" workbookViewId="0">
      <selection activeCell="A102" sqref="A102"/>
    </sheetView>
  </sheetViews>
  <sheetFormatPr defaultColWidth="0" defaultRowHeight="15" x14ac:dyDescent="0.25"/>
  <cols>
    <col min="1" max="1" width="60.85546875" style="2" customWidth="1"/>
    <col min="2" max="2" width="28.5703125" style="2" bestFit="1" customWidth="1"/>
    <col min="3" max="3" width="10.42578125" style="2" customWidth="1"/>
    <col min="4" max="22" width="11.7109375" style="2" customWidth="1"/>
    <col min="23" max="27" width="9.140625" style="2" customWidth="1"/>
    <col min="28" max="16384" width="9.140625" hidden="1"/>
  </cols>
  <sheetData>
    <row r="1" spans="1:27" ht="21" x14ac:dyDescent="0.25">
      <c r="A1" s="43" t="s">
        <v>83</v>
      </c>
      <c r="Z1" s="12" t="s">
        <v>50</v>
      </c>
      <c r="AA1" s="12"/>
    </row>
    <row r="2" spans="1:27" x14ac:dyDescent="0.25">
      <c r="Z2" s="12" t="s">
        <v>56</v>
      </c>
      <c r="AA2" s="12"/>
    </row>
    <row r="3" spans="1:27" x14ac:dyDescent="0.25">
      <c r="A3" s="25" t="s">
        <v>57</v>
      </c>
      <c r="Z3" s="12" t="s">
        <v>42</v>
      </c>
      <c r="AA3" s="12" t="s">
        <v>40</v>
      </c>
    </row>
    <row r="4" spans="1:27" s="27" customFormat="1" x14ac:dyDescent="0.25">
      <c r="A4" s="24" t="s">
        <v>84</v>
      </c>
      <c r="B4" s="2"/>
      <c r="C4" s="2"/>
      <c r="D4" s="2"/>
      <c r="E4" s="2"/>
      <c r="F4" s="2"/>
      <c r="G4" s="2"/>
      <c r="H4" s="2"/>
      <c r="I4" s="2"/>
      <c r="J4" s="2"/>
      <c r="K4" s="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 t="s">
        <v>43</v>
      </c>
      <c r="AA4" s="12" t="s">
        <v>39</v>
      </c>
    </row>
    <row r="5" spans="1:27" s="27" customFormat="1" x14ac:dyDescent="0.25">
      <c r="A5" s="34" t="s">
        <v>58</v>
      </c>
      <c r="B5" s="2"/>
      <c r="C5" s="2"/>
      <c r="D5" s="2"/>
      <c r="E5" s="2"/>
      <c r="F5" s="2"/>
      <c r="G5" s="2"/>
      <c r="H5" s="2"/>
      <c r="I5" s="2"/>
      <c r="J5" s="2"/>
      <c r="K5" s="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 t="s">
        <v>44</v>
      </c>
      <c r="AA5" s="12"/>
    </row>
    <row r="6" spans="1:27" s="27" customFormat="1" x14ac:dyDescent="0.25">
      <c r="A6" s="2"/>
      <c r="B6" s="2"/>
      <c r="C6" s="2"/>
      <c r="D6" s="12"/>
      <c r="E6" s="2"/>
      <c r="F6" s="2"/>
      <c r="G6" s="2"/>
      <c r="H6" s="2"/>
      <c r="I6" s="2"/>
      <c r="J6" s="2"/>
      <c r="K6" s="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27" s="27" customFormat="1" x14ac:dyDescent="0.25">
      <c r="A7" s="11" t="s">
        <v>6</v>
      </c>
      <c r="B7" s="2"/>
      <c r="C7" s="12"/>
      <c r="D7" s="11"/>
      <c r="E7" s="11"/>
      <c r="F7" s="2"/>
      <c r="G7" s="41"/>
      <c r="H7" s="2"/>
      <c r="I7" s="2"/>
      <c r="J7" s="2"/>
      <c r="K7" s="1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</row>
    <row r="8" spans="1:27" s="27" customFormat="1" x14ac:dyDescent="0.25">
      <c r="A8" s="4"/>
      <c r="B8" s="2"/>
      <c r="C8" s="2"/>
      <c r="D8" s="12"/>
      <c r="E8" s="2"/>
      <c r="F8" s="2"/>
      <c r="G8" s="2"/>
      <c r="H8" s="2"/>
      <c r="I8" s="2"/>
      <c r="J8" s="2"/>
      <c r="K8" s="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</row>
    <row r="9" spans="1:27" s="27" customFormat="1" x14ac:dyDescent="0.25">
      <c r="A9" s="12" t="s">
        <v>0</v>
      </c>
      <c r="B9" s="2"/>
      <c r="C9" s="5">
        <v>90</v>
      </c>
      <c r="D9" s="12" t="s">
        <v>59</v>
      </c>
      <c r="E9" s="2"/>
      <c r="F9" s="2"/>
      <c r="G9" s="2"/>
      <c r="H9" s="41" t="s">
        <v>67</v>
      </c>
      <c r="I9" s="2"/>
      <c r="J9" s="2"/>
      <c r="K9" s="2"/>
      <c r="L9" s="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</row>
    <row r="10" spans="1:27" s="27" customFormat="1" x14ac:dyDescent="0.25">
      <c r="A10" s="12" t="s">
        <v>46</v>
      </c>
      <c r="B10" s="12" t="s">
        <v>42</v>
      </c>
      <c r="C10" s="5">
        <v>3429.5</v>
      </c>
      <c r="D10" s="12" t="s">
        <v>62</v>
      </c>
      <c r="E10" s="40"/>
      <c r="F10" s="2"/>
      <c r="G10" s="2"/>
      <c r="H10" s="12"/>
      <c r="I10" s="12"/>
      <c r="J10" s="12"/>
      <c r="K10" s="12"/>
      <c r="L10" s="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7" s="27" customFormat="1" x14ac:dyDescent="0.25">
      <c r="A11" s="12" t="s">
        <v>47</v>
      </c>
      <c r="B11" s="12" t="s">
        <v>43</v>
      </c>
      <c r="C11" s="5">
        <v>3610</v>
      </c>
      <c r="D11" s="12" t="s">
        <v>62</v>
      </c>
      <c r="E11" s="40"/>
      <c r="F11" s="2"/>
      <c r="G11" s="2"/>
      <c r="H11" s="11"/>
      <c r="I11" s="2"/>
      <c r="J11" s="37"/>
      <c r="K11" s="2"/>
      <c r="L11" s="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s="27" customFormat="1" x14ac:dyDescent="0.25">
      <c r="A12" s="12" t="s">
        <v>48</v>
      </c>
      <c r="B12" s="12" t="s">
        <v>44</v>
      </c>
      <c r="C12" s="5">
        <v>3800</v>
      </c>
      <c r="D12" s="12" t="s">
        <v>62</v>
      </c>
      <c r="E12" s="2"/>
      <c r="F12" s="12"/>
      <c r="G12" s="2"/>
      <c r="H12" s="12" t="s">
        <v>69</v>
      </c>
      <c r="I12" s="2"/>
      <c r="J12" s="37">
        <f>MIN(C71:P71)</f>
        <v>1.2998897658260142</v>
      </c>
      <c r="K12" s="37"/>
      <c r="L12" s="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7" s="27" customFormat="1" x14ac:dyDescent="0.25">
      <c r="A13" s="12" t="s">
        <v>2</v>
      </c>
      <c r="B13" s="2"/>
      <c r="C13" s="9">
        <v>42369</v>
      </c>
      <c r="D13" s="12" t="s">
        <v>82</v>
      </c>
      <c r="E13" s="2"/>
      <c r="F13" s="2"/>
      <c r="G13" s="2"/>
      <c r="H13" s="2"/>
      <c r="I13" s="2"/>
      <c r="J13" s="2"/>
      <c r="K13" s="37"/>
      <c r="L13" s="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7" s="27" customFormat="1" x14ac:dyDescent="0.25">
      <c r="A14" s="12" t="s">
        <v>9</v>
      </c>
      <c r="B14" s="2"/>
      <c r="C14" s="5">
        <v>25</v>
      </c>
      <c r="D14" s="12" t="s">
        <v>60</v>
      </c>
      <c r="E14" s="12"/>
      <c r="F14" s="2"/>
      <c r="G14" s="12"/>
      <c r="H14" s="2"/>
      <c r="I14" s="2"/>
      <c r="J14" s="48" t="s">
        <v>44</v>
      </c>
      <c r="K14" s="48" t="s">
        <v>43</v>
      </c>
      <c r="L14" s="48" t="s">
        <v>42</v>
      </c>
      <c r="M14" s="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7" s="27" customFormat="1" x14ac:dyDescent="0.25">
      <c r="A15" s="12" t="s">
        <v>37</v>
      </c>
      <c r="B15" s="2"/>
      <c r="C15" s="5">
        <v>1900</v>
      </c>
      <c r="D15" s="12" t="s">
        <v>61</v>
      </c>
      <c r="E15" s="2"/>
      <c r="F15" s="2"/>
      <c r="G15" s="12"/>
      <c r="H15" s="12"/>
      <c r="I15" s="44" t="s">
        <v>70</v>
      </c>
      <c r="J15" s="45">
        <v>0.79225024839602864</v>
      </c>
      <c r="K15" s="45">
        <v>0.75361195671704184</v>
      </c>
      <c r="L15" s="45">
        <v>0.7168072741340592</v>
      </c>
      <c r="M15" s="12" t="s">
        <v>64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7" s="27" customFormat="1" x14ac:dyDescent="0.25">
      <c r="A16" s="12" t="s">
        <v>8</v>
      </c>
      <c r="B16" s="2"/>
      <c r="C16" s="18">
        <v>15</v>
      </c>
      <c r="D16" s="12" t="s">
        <v>61</v>
      </c>
      <c r="E16" s="12"/>
      <c r="F16" s="12"/>
      <c r="G16" s="12"/>
      <c r="H16" s="12"/>
      <c r="I16" s="44" t="s">
        <v>71</v>
      </c>
      <c r="J16" s="47">
        <v>0.1767615258693695</v>
      </c>
      <c r="K16" s="47">
        <v>0.13846948742866516</v>
      </c>
      <c r="L16" s="47">
        <v>0.11036255955696106</v>
      </c>
      <c r="M16" s="12" t="s">
        <v>64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27" customFormat="1" x14ac:dyDescent="0.25">
      <c r="A17" s="12" t="s">
        <v>49</v>
      </c>
      <c r="B17" s="2"/>
      <c r="C17" s="19">
        <v>8</v>
      </c>
      <c r="D17" s="12" t="s">
        <v>63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  <row r="18" spans="1:27" s="27" customFormat="1" x14ac:dyDescent="0.25">
      <c r="A18" s="12" t="s">
        <v>11</v>
      </c>
      <c r="B18" s="2"/>
      <c r="C18" s="21">
        <v>0.02</v>
      </c>
      <c r="D18" s="12" t="s">
        <v>64</v>
      </c>
      <c r="E18" s="12"/>
      <c r="F18" s="2"/>
      <c r="G18" s="2"/>
      <c r="H18" s="12"/>
      <c r="I18" s="12"/>
      <c r="J18" s="49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  <row r="19" spans="1:27" s="27" customFormat="1" x14ac:dyDescent="0.25">
      <c r="A19" s="12" t="s">
        <v>36</v>
      </c>
      <c r="B19" s="2"/>
      <c r="C19" s="20">
        <v>80</v>
      </c>
      <c r="D19" s="12" t="s">
        <v>63</v>
      </c>
      <c r="E19" s="12"/>
      <c r="F19" s="2"/>
      <c r="G19" s="2"/>
      <c r="H19" s="6"/>
      <c r="I19" s="2"/>
      <c r="J19" s="22"/>
      <c r="K19" s="2"/>
      <c r="L19" s="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27" customFormat="1" x14ac:dyDescent="0.25">
      <c r="A20" s="12" t="s">
        <v>15</v>
      </c>
      <c r="B20" s="2"/>
      <c r="C20" s="20">
        <v>50</v>
      </c>
      <c r="D20" s="12" t="s">
        <v>63</v>
      </c>
      <c r="E20" s="12"/>
      <c r="F20" s="2"/>
      <c r="G20" s="2"/>
      <c r="H20" s="41" t="s">
        <v>68</v>
      </c>
      <c r="I20" s="2"/>
      <c r="J20" s="22"/>
      <c r="K20" s="2"/>
      <c r="L20" s="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27" customFormat="1" x14ac:dyDescent="0.25">
      <c r="A21" s="12" t="s">
        <v>10</v>
      </c>
      <c r="B21" s="2"/>
      <c r="C21" s="5">
        <v>15</v>
      </c>
      <c r="D21" s="12" t="s">
        <v>60</v>
      </c>
      <c r="E21" s="12"/>
      <c r="F21" s="2"/>
      <c r="G21" s="2"/>
      <c r="I21" s="12"/>
      <c r="J21" s="6"/>
      <c r="K21" s="2"/>
      <c r="L21" s="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27" customFormat="1" x14ac:dyDescent="0.25">
      <c r="A22" s="12" t="s">
        <v>66</v>
      </c>
      <c r="B22" s="2"/>
      <c r="C22" s="5">
        <v>40</v>
      </c>
      <c r="D22" s="12" t="s">
        <v>63</v>
      </c>
      <c r="E22" s="12"/>
      <c r="F22" s="2"/>
      <c r="G22" s="2"/>
      <c r="H22" s="12" t="s">
        <v>7</v>
      </c>
      <c r="I22" s="2"/>
      <c r="J22" s="36">
        <f xml:space="preserve"> XIRR( B73:AA73, B40:AA40 )</f>
        <v>0.12154170870780945</v>
      </c>
      <c r="K22" s="2"/>
      <c r="L22" s="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27" customFormat="1" x14ac:dyDescent="0.25">
      <c r="A23" s="12" t="s">
        <v>65</v>
      </c>
      <c r="B23" s="2"/>
      <c r="C23" s="21">
        <v>1.4999999999999999E-2</v>
      </c>
      <c r="D23" s="12" t="s">
        <v>64</v>
      </c>
      <c r="E23" s="12"/>
      <c r="F23" s="2"/>
      <c r="G23" s="2"/>
      <c r="H23" s="12" t="s">
        <v>51</v>
      </c>
      <c r="I23" s="2"/>
      <c r="J23" s="42">
        <f>SUM(C73:AA73)/-B73</f>
        <v>3.8414952344376418</v>
      </c>
      <c r="K23" s="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27" customFormat="1" x14ac:dyDescent="0.25">
      <c r="A24" s="12" t="s">
        <v>1</v>
      </c>
      <c r="B24" s="2"/>
      <c r="C24" s="7">
        <v>0.25</v>
      </c>
      <c r="D24" s="12" t="s">
        <v>64</v>
      </c>
      <c r="E24" s="12"/>
      <c r="F24" s="2"/>
      <c r="G24" s="2"/>
      <c r="H24" s="2"/>
      <c r="I24" s="2"/>
      <c r="J24" s="2"/>
      <c r="K24" s="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27" customFormat="1" x14ac:dyDescent="0.25">
      <c r="A25" s="12" t="s">
        <v>3</v>
      </c>
      <c r="B25" s="2"/>
      <c r="C25" s="21">
        <v>5.5E-2</v>
      </c>
      <c r="D25" s="12" t="s">
        <v>64</v>
      </c>
      <c r="E25" s="2"/>
      <c r="F25" s="2"/>
      <c r="G25" s="2"/>
      <c r="H25" s="2"/>
      <c r="I25" s="2"/>
      <c r="J25" s="2"/>
      <c r="K25" s="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27" customFormat="1" x14ac:dyDescent="0.25">
      <c r="A26" s="12" t="s">
        <v>5</v>
      </c>
      <c r="B26" s="2"/>
      <c r="C26" s="21">
        <v>0.71686203661117498</v>
      </c>
      <c r="D26" s="12" t="s">
        <v>64</v>
      </c>
      <c r="E26" s="2"/>
      <c r="F26" s="2"/>
      <c r="G26" s="2"/>
      <c r="H26" s="2"/>
      <c r="I26" s="2"/>
      <c r="J26" s="2"/>
      <c r="K26" s="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</row>
    <row r="27" spans="1:27" s="27" customFormat="1" x14ac:dyDescent="0.25">
      <c r="A27" s="12" t="s">
        <v>19</v>
      </c>
      <c r="B27" s="2"/>
      <c r="C27" s="8">
        <v>14</v>
      </c>
      <c r="D27" s="12" t="s">
        <v>60</v>
      </c>
      <c r="E27" s="2"/>
      <c r="F27" s="2"/>
      <c r="G27" s="2"/>
      <c r="H27" s="2"/>
      <c r="I27" s="2"/>
      <c r="J27" s="2"/>
      <c r="K27" s="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</row>
    <row r="28" spans="1:27" s="27" customFormat="1" x14ac:dyDescent="0.25">
      <c r="A28" s="12" t="s">
        <v>38</v>
      </c>
      <c r="B28" s="2"/>
      <c r="C28" s="39">
        <f>B62/C27</f>
        <v>8755.9577328936375</v>
      </c>
      <c r="D28" s="12" t="s">
        <v>81</v>
      </c>
      <c r="E28" s="2"/>
      <c r="F28" s="2"/>
      <c r="G28" s="2"/>
      <c r="H28" s="2"/>
      <c r="I28" s="2"/>
      <c r="J28" s="2"/>
      <c r="K28" s="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s="27" customFormat="1" ht="15.75" thickBot="1" x14ac:dyDescent="0.3">
      <c r="A29" s="12" t="s">
        <v>39</v>
      </c>
      <c r="B29" s="2"/>
      <c r="C29" s="39">
        <f>-PMT(C25,C27,B62)</f>
        <v>12782.889382184108</v>
      </c>
      <c r="D29" s="12" t="s">
        <v>81</v>
      </c>
      <c r="E29" s="2"/>
      <c r="F29" s="2"/>
      <c r="G29" s="2"/>
      <c r="H29" s="2"/>
      <c r="I29" s="2"/>
      <c r="J29" s="2"/>
      <c r="K29" s="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s="27" customFormat="1" ht="15.75" thickBot="1" x14ac:dyDescent="0.3">
      <c r="A30" s="12" t="s">
        <v>55</v>
      </c>
      <c r="B30" s="2"/>
      <c r="C30" s="32" t="s">
        <v>39</v>
      </c>
      <c r="D30" s="33" t="s">
        <v>54</v>
      </c>
      <c r="E30" s="2"/>
      <c r="F30" s="2"/>
      <c r="G30" s="2"/>
      <c r="H30" s="2"/>
      <c r="I30" s="2"/>
      <c r="J30" s="2"/>
      <c r="K30" s="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s="27" customFormat="1" ht="15.75" thickBot="1" x14ac:dyDescent="0.3">
      <c r="A31" s="12" t="s">
        <v>41</v>
      </c>
      <c r="B31" s="2"/>
      <c r="C31" s="32" t="s">
        <v>42</v>
      </c>
      <c r="D31" s="33" t="s">
        <v>54</v>
      </c>
      <c r="E31" s="2"/>
      <c r="F31" s="2"/>
      <c r="G31" s="2"/>
      <c r="H31" s="2"/>
      <c r="I31" s="2"/>
      <c r="J31" s="2"/>
      <c r="K31" s="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27" customFormat="1" x14ac:dyDescent="0.25">
      <c r="A32" s="38"/>
      <c r="B32" s="2"/>
      <c r="C32" s="2"/>
      <c r="D32" s="2"/>
      <c r="E32" s="2"/>
      <c r="F32" s="2"/>
      <c r="G32" s="2"/>
      <c r="H32" s="2"/>
      <c r="I32" s="2"/>
      <c r="J32" s="2"/>
      <c r="K32" s="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16384" s="27" customFormat="1" x14ac:dyDescent="0.25">
      <c r="A33" s="38"/>
      <c r="B33" s="2"/>
      <c r="C33" s="12"/>
      <c r="D33" s="2"/>
      <c r="E33" s="2"/>
      <c r="F33" s="2"/>
      <c r="G33" s="2"/>
      <c r="H33" s="2"/>
      <c r="I33" s="2"/>
      <c r="J33" s="2"/>
      <c r="K33" s="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</row>
    <row r="34" spans="1:16384" s="27" customFormat="1" x14ac:dyDescent="0.25">
      <c r="A34" s="38"/>
      <c r="B34" s="2"/>
      <c r="C34" s="12"/>
      <c r="D34" s="2"/>
      <c r="E34" s="2"/>
      <c r="F34" s="2"/>
      <c r="G34" s="2"/>
      <c r="H34" s="2"/>
      <c r="I34" s="2"/>
      <c r="J34" s="2"/>
      <c r="K34" s="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16384" s="27" customFormat="1" x14ac:dyDescent="0.25">
      <c r="A35" s="38"/>
      <c r="B35" s="2"/>
      <c r="C35" s="12"/>
      <c r="D35" s="2"/>
      <c r="E35" s="2"/>
      <c r="F35" s="2"/>
      <c r="G35" s="2"/>
      <c r="H35" s="2"/>
      <c r="I35" s="2"/>
      <c r="J35" s="2"/>
      <c r="K35" s="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84" s="27" customFormat="1" x14ac:dyDescent="0.25">
      <c r="A36" s="38"/>
      <c r="B36" s="2"/>
      <c r="C36" s="12"/>
      <c r="D36" s="2"/>
      <c r="E36" s="2"/>
      <c r="F36" s="2"/>
      <c r="G36" s="2"/>
      <c r="H36" s="2"/>
      <c r="I36" s="2"/>
      <c r="J36" s="2"/>
      <c r="K36" s="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16384" s="27" customFormat="1" x14ac:dyDescent="0.25">
      <c r="A37" s="38"/>
      <c r="B37" s="2"/>
      <c r="C37" s="12"/>
      <c r="D37" s="2"/>
      <c r="E37" s="2"/>
      <c r="F37" s="2"/>
      <c r="G37" s="2"/>
      <c r="H37" s="2"/>
      <c r="I37" s="2"/>
      <c r="J37" s="2"/>
      <c r="K37" s="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16384" s="27" customForma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16384" s="27" customFormat="1" x14ac:dyDescent="0.25">
      <c r="A39" s="12" t="s">
        <v>53</v>
      </c>
      <c r="B39" s="5">
        <v>0</v>
      </c>
      <c r="C39" s="12">
        <f>B39+1</f>
        <v>1</v>
      </c>
      <c r="D39" s="12">
        <f t="shared" ref="D39:V39" si="0">C39+1</f>
        <v>2</v>
      </c>
      <c r="E39" s="12">
        <f t="shared" si="0"/>
        <v>3</v>
      </c>
      <c r="F39" s="12">
        <f t="shared" si="0"/>
        <v>4</v>
      </c>
      <c r="G39" s="12">
        <f t="shared" si="0"/>
        <v>5</v>
      </c>
      <c r="H39" s="12">
        <f t="shared" si="0"/>
        <v>6</v>
      </c>
      <c r="I39" s="12">
        <f t="shared" si="0"/>
        <v>7</v>
      </c>
      <c r="J39" s="12">
        <f t="shared" si="0"/>
        <v>8</v>
      </c>
      <c r="K39" s="12">
        <f t="shared" si="0"/>
        <v>9</v>
      </c>
      <c r="L39" s="12">
        <f t="shared" si="0"/>
        <v>10</v>
      </c>
      <c r="M39" s="12">
        <f t="shared" si="0"/>
        <v>11</v>
      </c>
      <c r="N39" s="12">
        <f t="shared" si="0"/>
        <v>12</v>
      </c>
      <c r="O39" s="12">
        <f t="shared" si="0"/>
        <v>13</v>
      </c>
      <c r="P39" s="12">
        <f t="shared" si="0"/>
        <v>14</v>
      </c>
      <c r="Q39" s="12">
        <f t="shared" si="0"/>
        <v>15</v>
      </c>
      <c r="R39" s="12">
        <f t="shared" si="0"/>
        <v>16</v>
      </c>
      <c r="S39" s="12">
        <f t="shared" si="0"/>
        <v>17</v>
      </c>
      <c r="T39" s="12">
        <f t="shared" si="0"/>
        <v>18</v>
      </c>
      <c r="U39" s="12">
        <f t="shared" si="0"/>
        <v>19</v>
      </c>
      <c r="V39" s="12">
        <f t="shared" si="0"/>
        <v>20</v>
      </c>
      <c r="W39" s="12">
        <f t="shared" ref="W39" si="1">V39+1</f>
        <v>21</v>
      </c>
      <c r="X39" s="12">
        <f t="shared" ref="X39" si="2">W39+1</f>
        <v>22</v>
      </c>
      <c r="Y39" s="12">
        <f t="shared" ref="Y39" si="3">X39+1</f>
        <v>23</v>
      </c>
      <c r="Z39" s="12">
        <f t="shared" ref="Z39" si="4">Y39+1</f>
        <v>24</v>
      </c>
      <c r="AA39" s="12">
        <f t="shared" ref="AA39" si="5">Z39+1</f>
        <v>25</v>
      </c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27" customFormat="1" x14ac:dyDescent="0.25">
      <c r="A40" s="11" t="s">
        <v>52</v>
      </c>
      <c r="B40" s="13">
        <f>C13</f>
        <v>42369</v>
      </c>
      <c r="C40" s="13">
        <f>DATE(YEAR(B40)+1,12,31)</f>
        <v>42735</v>
      </c>
      <c r="D40" s="13">
        <f t="shared" ref="D40:V40" si="6">DATE(YEAR(C40)+1,12,31)</f>
        <v>43100</v>
      </c>
      <c r="E40" s="13">
        <f t="shared" si="6"/>
        <v>43465</v>
      </c>
      <c r="F40" s="13">
        <f t="shared" si="6"/>
        <v>43830</v>
      </c>
      <c r="G40" s="13">
        <f t="shared" si="6"/>
        <v>44196</v>
      </c>
      <c r="H40" s="13">
        <f t="shared" si="6"/>
        <v>44561</v>
      </c>
      <c r="I40" s="13">
        <f t="shared" si="6"/>
        <v>44926</v>
      </c>
      <c r="J40" s="13">
        <f t="shared" si="6"/>
        <v>45291</v>
      </c>
      <c r="K40" s="13">
        <f t="shared" si="6"/>
        <v>45657</v>
      </c>
      <c r="L40" s="13">
        <f t="shared" si="6"/>
        <v>46022</v>
      </c>
      <c r="M40" s="13">
        <f t="shared" si="6"/>
        <v>46387</v>
      </c>
      <c r="N40" s="13">
        <f t="shared" si="6"/>
        <v>46752</v>
      </c>
      <c r="O40" s="13">
        <f t="shared" si="6"/>
        <v>47118</v>
      </c>
      <c r="P40" s="13">
        <f t="shared" si="6"/>
        <v>47483</v>
      </c>
      <c r="Q40" s="13">
        <f t="shared" si="6"/>
        <v>47848</v>
      </c>
      <c r="R40" s="13">
        <f t="shared" si="6"/>
        <v>48213</v>
      </c>
      <c r="S40" s="13">
        <f t="shared" si="6"/>
        <v>48579</v>
      </c>
      <c r="T40" s="13">
        <f t="shared" si="6"/>
        <v>48944</v>
      </c>
      <c r="U40" s="13">
        <f t="shared" si="6"/>
        <v>49309</v>
      </c>
      <c r="V40" s="13">
        <f t="shared" si="6"/>
        <v>49674</v>
      </c>
      <c r="W40" s="13">
        <f t="shared" ref="W40" si="7">DATE(YEAR(V40)+1,12,31)</f>
        <v>50040</v>
      </c>
      <c r="X40" s="13">
        <f t="shared" ref="X40" si="8">DATE(YEAR(W40)+1,12,31)</f>
        <v>50405</v>
      </c>
      <c r="Y40" s="13">
        <f t="shared" ref="Y40" si="9">DATE(YEAR(X40)+1,12,31)</f>
        <v>50770</v>
      </c>
      <c r="Z40" s="13">
        <f t="shared" ref="Z40" si="10">DATE(YEAR(Y40)+1,12,31)</f>
        <v>51135</v>
      </c>
      <c r="AA40" s="13">
        <f t="shared" ref="AA40" si="11">DATE(YEAR(Z40)+1,12,31)</f>
        <v>51501</v>
      </c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27" customFormat="1" x14ac:dyDescent="0.25">
      <c r="A41" s="12" t="s">
        <v>45</v>
      </c>
      <c r="B41" s="28"/>
      <c r="C41" s="10">
        <v>40</v>
      </c>
      <c r="D41" s="15">
        <f>C41*(1+$C$23)</f>
        <v>40.599999999999994</v>
      </c>
      <c r="E41" s="15">
        <f t="shared" ref="E41:V41" si="12">D41*(1+$C$23)</f>
        <v>41.208999999999989</v>
      </c>
      <c r="F41" s="15">
        <f t="shared" si="12"/>
        <v>41.827134999999984</v>
      </c>
      <c r="G41" s="15">
        <f t="shared" si="12"/>
        <v>42.454542024999981</v>
      </c>
      <c r="H41" s="15">
        <f t="shared" si="12"/>
        <v>43.091360155374979</v>
      </c>
      <c r="I41" s="15">
        <f t="shared" si="12"/>
        <v>43.737730557705596</v>
      </c>
      <c r="J41" s="15">
        <f t="shared" si="12"/>
        <v>44.393796516071177</v>
      </c>
      <c r="K41" s="15">
        <f t="shared" si="12"/>
        <v>45.059703463812241</v>
      </c>
      <c r="L41" s="15">
        <f t="shared" si="12"/>
        <v>45.735599015769424</v>
      </c>
      <c r="M41" s="15">
        <f t="shared" si="12"/>
        <v>46.421633001005958</v>
      </c>
      <c r="N41" s="15">
        <f t="shared" si="12"/>
        <v>47.117957496021042</v>
      </c>
      <c r="O41" s="15">
        <f t="shared" si="12"/>
        <v>47.824726858461354</v>
      </c>
      <c r="P41" s="15">
        <f t="shared" si="12"/>
        <v>48.542097761338269</v>
      </c>
      <c r="Q41" s="15">
        <f t="shared" si="12"/>
        <v>49.270229227758335</v>
      </c>
      <c r="R41" s="15">
        <f t="shared" si="12"/>
        <v>50.009282666174705</v>
      </c>
      <c r="S41" s="15">
        <f t="shared" si="12"/>
        <v>50.759421906167319</v>
      </c>
      <c r="T41" s="15">
        <f t="shared" si="12"/>
        <v>51.520813234759821</v>
      </c>
      <c r="U41" s="15">
        <f t="shared" si="12"/>
        <v>52.293625433281214</v>
      </c>
      <c r="V41" s="15">
        <f t="shared" si="12"/>
        <v>53.078029814780429</v>
      </c>
      <c r="W41" s="15">
        <f t="shared" ref="W41" si="13">V41*(1+$C$23)</f>
        <v>53.874200262002127</v>
      </c>
      <c r="X41" s="15">
        <f t="shared" ref="X41" si="14">W41*(1+$C$23)</f>
        <v>54.682313265932152</v>
      </c>
      <c r="Y41" s="15">
        <f t="shared" ref="Y41" si="15">X41*(1+$C$23)</f>
        <v>55.502547964921128</v>
      </c>
      <c r="Z41" s="15">
        <f t="shared" ref="Z41" si="16">Y41*(1+$C$23)</f>
        <v>56.335086184394939</v>
      </c>
      <c r="AA41" s="15">
        <f t="shared" ref="AA41" si="17">Z41*(1+$C$23)</f>
        <v>57.180112477160854</v>
      </c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27" customFormat="1" x14ac:dyDescent="0.25">
      <c r="A42" s="12" t="s">
        <v>14</v>
      </c>
      <c r="B42" s="15"/>
      <c r="C42" s="46">
        <f t="shared" ref="C42:V42" si="18">$C9*VLOOKUP($C$31,$B$10:$C$12,2,FALSE) * IF( C39 &gt; $C14, 0, 1 )</f>
        <v>308655</v>
      </c>
      <c r="D42" s="46">
        <f t="shared" si="18"/>
        <v>308655</v>
      </c>
      <c r="E42" s="46">
        <f t="shared" si="18"/>
        <v>308655</v>
      </c>
      <c r="F42" s="46">
        <f t="shared" si="18"/>
        <v>308655</v>
      </c>
      <c r="G42" s="46">
        <f t="shared" si="18"/>
        <v>308655</v>
      </c>
      <c r="H42" s="46">
        <f t="shared" si="18"/>
        <v>308655</v>
      </c>
      <c r="I42" s="46">
        <f t="shared" si="18"/>
        <v>308655</v>
      </c>
      <c r="J42" s="46">
        <f t="shared" si="18"/>
        <v>308655</v>
      </c>
      <c r="K42" s="46">
        <f t="shared" si="18"/>
        <v>308655</v>
      </c>
      <c r="L42" s="46">
        <f t="shared" si="18"/>
        <v>308655</v>
      </c>
      <c r="M42" s="46">
        <f t="shared" si="18"/>
        <v>308655</v>
      </c>
      <c r="N42" s="46">
        <f t="shared" si="18"/>
        <v>308655</v>
      </c>
      <c r="O42" s="46">
        <f t="shared" si="18"/>
        <v>308655</v>
      </c>
      <c r="P42" s="46">
        <f t="shared" si="18"/>
        <v>308655</v>
      </c>
      <c r="Q42" s="46">
        <f t="shared" si="18"/>
        <v>308655</v>
      </c>
      <c r="R42" s="46">
        <f t="shared" si="18"/>
        <v>308655</v>
      </c>
      <c r="S42" s="46">
        <f t="shared" si="18"/>
        <v>308655</v>
      </c>
      <c r="T42" s="46">
        <f t="shared" si="18"/>
        <v>308655</v>
      </c>
      <c r="U42" s="46">
        <f t="shared" si="18"/>
        <v>308655</v>
      </c>
      <c r="V42" s="46">
        <f t="shared" si="18"/>
        <v>308655</v>
      </c>
      <c r="W42" s="46">
        <f t="shared" ref="W42:AA42" si="19">$C9*VLOOKUP($C$31,$B$10:$C$12,2,FALSE) * IF( W39 &gt; $C14, 0, 1 )</f>
        <v>308655</v>
      </c>
      <c r="X42" s="46">
        <f t="shared" si="19"/>
        <v>308655</v>
      </c>
      <c r="Y42" s="46">
        <f t="shared" si="19"/>
        <v>308655</v>
      </c>
      <c r="Z42" s="46">
        <f t="shared" si="19"/>
        <v>308655</v>
      </c>
      <c r="AA42" s="46">
        <f t="shared" si="19"/>
        <v>308655</v>
      </c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s="27" customForma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s="29" customFormat="1" x14ac:dyDescent="0.25">
      <c r="A44" s="12" t="s">
        <v>13</v>
      </c>
      <c r="B44" s="12"/>
      <c r="C44" s="34">
        <f t="shared" ref="C44:V44" si="20" xml:space="preserve"> C$41 * C$42/1000 * IF( C39 &gt; $C14, 0, 1 )</f>
        <v>12346.2</v>
      </c>
      <c r="D44" s="34">
        <f t="shared" si="20"/>
        <v>12531.392999999998</v>
      </c>
      <c r="E44" s="34">
        <f t="shared" si="20"/>
        <v>12719.363894999995</v>
      </c>
      <c r="F44" s="34">
        <f t="shared" si="20"/>
        <v>12910.154353424994</v>
      </c>
      <c r="G44" s="34">
        <f t="shared" si="20"/>
        <v>13103.806668726369</v>
      </c>
      <c r="H44" s="34">
        <f t="shared" si="20"/>
        <v>13300.363768757263</v>
      </c>
      <c r="I44" s="34">
        <f t="shared" si="20"/>
        <v>13499.869225288619</v>
      </c>
      <c r="J44" s="34">
        <f t="shared" si="20"/>
        <v>13702.367263667949</v>
      </c>
      <c r="K44" s="34">
        <f t="shared" si="20"/>
        <v>13907.902772622967</v>
      </c>
      <c r="L44" s="34">
        <f t="shared" si="20"/>
        <v>14116.52131421231</v>
      </c>
      <c r="M44" s="34">
        <f t="shared" si="20"/>
        <v>14328.269133925494</v>
      </c>
      <c r="N44" s="34">
        <f t="shared" si="20"/>
        <v>14543.193170934375</v>
      </c>
      <c r="O44" s="34">
        <f t="shared" si="20"/>
        <v>14761.34106849839</v>
      </c>
      <c r="P44" s="34">
        <f t="shared" si="20"/>
        <v>14982.761184525863</v>
      </c>
      <c r="Q44" s="34">
        <f t="shared" si="20"/>
        <v>15207.502602293749</v>
      </c>
      <c r="R44" s="34">
        <f t="shared" si="20"/>
        <v>15435.615141328155</v>
      </c>
      <c r="S44" s="34">
        <f t="shared" si="20"/>
        <v>15667.149368448074</v>
      </c>
      <c r="T44" s="34">
        <f t="shared" si="20"/>
        <v>15902.156608974792</v>
      </c>
      <c r="U44" s="34">
        <f t="shared" si="20"/>
        <v>16140.688958109413</v>
      </c>
      <c r="V44" s="34">
        <f t="shared" si="20"/>
        <v>16382.799292481053</v>
      </c>
      <c r="W44" s="34">
        <f t="shared" ref="W44:AA44" si="21" xml:space="preserve"> W$41 * W$42/1000 * IF( W39 &gt; $C14, 0, 1 )</f>
        <v>16628.541281868267</v>
      </c>
      <c r="X44" s="34">
        <f t="shared" si="21"/>
        <v>16877.969401096288</v>
      </c>
      <c r="Y44" s="34">
        <f t="shared" si="21"/>
        <v>17131.138942112728</v>
      </c>
      <c r="Z44" s="34">
        <f t="shared" si="21"/>
        <v>17388.106026244419</v>
      </c>
      <c r="AA44" s="34">
        <f t="shared" si="21"/>
        <v>17648.927616638084</v>
      </c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s="29" customFormat="1" x14ac:dyDescent="0.25">
      <c r="A45" s="12" t="s">
        <v>16</v>
      </c>
      <c r="B45" s="12"/>
      <c r="C45" s="34">
        <f t="shared" ref="C45:V45" si="22" xml:space="preserve"> MIN(MAX($C19-C41,0),$C20)*C42*IF(C39&gt;$C21,0,1)/1000</f>
        <v>12346.2</v>
      </c>
      <c r="D45" s="34">
        <f t="shared" si="22"/>
        <v>12161.007000000001</v>
      </c>
      <c r="E45" s="34">
        <f t="shared" si="22"/>
        <v>11973.036105000005</v>
      </c>
      <c r="F45" s="34">
        <f t="shared" si="22"/>
        <v>11782.245646575006</v>
      </c>
      <c r="G45" s="34">
        <f t="shared" si="22"/>
        <v>11588.593331273631</v>
      </c>
      <c r="H45" s="34">
        <f t="shared" si="22"/>
        <v>11392.036231242737</v>
      </c>
      <c r="I45" s="34">
        <f t="shared" si="22"/>
        <v>11192.53077471138</v>
      </c>
      <c r="J45" s="34">
        <f t="shared" si="22"/>
        <v>10990.032736332052</v>
      </c>
      <c r="K45" s="34">
        <f t="shared" si="22"/>
        <v>10784.497227377033</v>
      </c>
      <c r="L45" s="34">
        <f t="shared" si="22"/>
        <v>10575.878685787689</v>
      </c>
      <c r="M45" s="34">
        <f t="shared" si="22"/>
        <v>10364.130866074505</v>
      </c>
      <c r="N45" s="34">
        <f t="shared" si="22"/>
        <v>10149.206829065624</v>
      </c>
      <c r="O45" s="34">
        <f t="shared" si="22"/>
        <v>9931.0589315016095</v>
      </c>
      <c r="P45" s="34">
        <f t="shared" si="22"/>
        <v>9709.6388154741362</v>
      </c>
      <c r="Q45" s="34">
        <f t="shared" si="22"/>
        <v>9484.8973977062524</v>
      </c>
      <c r="R45" s="34">
        <f t="shared" si="22"/>
        <v>0</v>
      </c>
      <c r="S45" s="34">
        <f t="shared" si="22"/>
        <v>0</v>
      </c>
      <c r="T45" s="34">
        <f t="shared" si="22"/>
        <v>0</v>
      </c>
      <c r="U45" s="34">
        <f t="shared" si="22"/>
        <v>0</v>
      </c>
      <c r="V45" s="34">
        <f t="shared" si="22"/>
        <v>0</v>
      </c>
      <c r="W45" s="34">
        <f t="shared" ref="W45:AA45" si="23" xml:space="preserve"> MIN(MAX($C19-W41,0),$C20)*W42*IF(W39&gt;$C21,0,1)/1000</f>
        <v>0</v>
      </c>
      <c r="X45" s="34">
        <f t="shared" si="23"/>
        <v>0</v>
      </c>
      <c r="Y45" s="34">
        <f t="shared" si="23"/>
        <v>0</v>
      </c>
      <c r="Z45" s="34">
        <f t="shared" si="23"/>
        <v>0</v>
      </c>
      <c r="AA45" s="34">
        <f t="shared" si="23"/>
        <v>0</v>
      </c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s="27" customFormat="1" x14ac:dyDescent="0.25">
      <c r="A46" s="11" t="s">
        <v>12</v>
      </c>
      <c r="B46" s="16"/>
      <c r="C46" s="24">
        <f t="shared" ref="C46:V46" si="24">C44+C45</f>
        <v>24692.400000000001</v>
      </c>
      <c r="D46" s="24">
        <f t="shared" si="24"/>
        <v>24692.400000000001</v>
      </c>
      <c r="E46" s="24">
        <f t="shared" si="24"/>
        <v>24692.400000000001</v>
      </c>
      <c r="F46" s="24">
        <f t="shared" si="24"/>
        <v>24692.400000000001</v>
      </c>
      <c r="G46" s="24">
        <f t="shared" si="24"/>
        <v>24692.400000000001</v>
      </c>
      <c r="H46" s="24">
        <f t="shared" si="24"/>
        <v>24692.400000000001</v>
      </c>
      <c r="I46" s="24">
        <f t="shared" si="24"/>
        <v>24692.400000000001</v>
      </c>
      <c r="J46" s="24">
        <f t="shared" si="24"/>
        <v>24692.400000000001</v>
      </c>
      <c r="K46" s="24">
        <f t="shared" si="24"/>
        <v>24692.400000000001</v>
      </c>
      <c r="L46" s="24">
        <f t="shared" si="24"/>
        <v>24692.400000000001</v>
      </c>
      <c r="M46" s="24">
        <f t="shared" si="24"/>
        <v>24692.400000000001</v>
      </c>
      <c r="N46" s="24">
        <f t="shared" si="24"/>
        <v>24692.400000000001</v>
      </c>
      <c r="O46" s="24">
        <f t="shared" si="24"/>
        <v>24692.400000000001</v>
      </c>
      <c r="P46" s="24">
        <f t="shared" si="24"/>
        <v>24692.400000000001</v>
      </c>
      <c r="Q46" s="24">
        <f t="shared" si="24"/>
        <v>24692.400000000001</v>
      </c>
      <c r="R46" s="24">
        <f t="shared" si="24"/>
        <v>15435.615141328155</v>
      </c>
      <c r="S46" s="24">
        <f t="shared" si="24"/>
        <v>15667.149368448074</v>
      </c>
      <c r="T46" s="24">
        <f t="shared" si="24"/>
        <v>15902.156608974792</v>
      </c>
      <c r="U46" s="24">
        <f t="shared" si="24"/>
        <v>16140.688958109413</v>
      </c>
      <c r="V46" s="24">
        <f t="shared" si="24"/>
        <v>16382.799292481053</v>
      </c>
      <c r="W46" s="24">
        <f t="shared" ref="W46:AA46" si="25">W44+W45</f>
        <v>16628.541281868267</v>
      </c>
      <c r="X46" s="24">
        <f t="shared" si="25"/>
        <v>16877.969401096288</v>
      </c>
      <c r="Y46" s="24">
        <f t="shared" si="25"/>
        <v>17131.138942112728</v>
      </c>
      <c r="Z46" s="24">
        <f t="shared" si="25"/>
        <v>17388.106026244419</v>
      </c>
      <c r="AA46" s="24">
        <f t="shared" si="25"/>
        <v>17648.927616638084</v>
      </c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 s="27" customFormat="1" x14ac:dyDescent="0.25">
      <c r="A47" s="12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s="27" customFormat="1" x14ac:dyDescent="0.25">
      <c r="A48" s="12" t="s">
        <v>18</v>
      </c>
      <c r="B48" s="12"/>
      <c r="C48" s="34">
        <f t="shared" ref="C48:V48" si="26" xml:space="preserve"> $C17 * ( 1 + $C18 ) ^ C39 * C42/1000</f>
        <v>2518.6247999999996</v>
      </c>
      <c r="D48" s="34">
        <f t="shared" si="26"/>
        <v>2568.997296</v>
      </c>
      <c r="E48" s="34">
        <f t="shared" si="26"/>
        <v>2620.37724192</v>
      </c>
      <c r="F48" s="34">
        <f t="shared" si="26"/>
        <v>2672.7847867584001</v>
      </c>
      <c r="G48" s="34">
        <f t="shared" si="26"/>
        <v>2726.2404824935684</v>
      </c>
      <c r="H48" s="34">
        <f t="shared" si="26"/>
        <v>2780.7652921434392</v>
      </c>
      <c r="I48" s="34">
        <f t="shared" si="26"/>
        <v>2836.3805979863077</v>
      </c>
      <c r="J48" s="34">
        <f t="shared" si="26"/>
        <v>2893.1082099460341</v>
      </c>
      <c r="K48" s="34">
        <f t="shared" si="26"/>
        <v>2950.9703741449548</v>
      </c>
      <c r="L48" s="34">
        <f t="shared" si="26"/>
        <v>3009.989781627854</v>
      </c>
      <c r="M48" s="34">
        <f t="shared" si="26"/>
        <v>3070.1895772604103</v>
      </c>
      <c r="N48" s="34">
        <f t="shared" si="26"/>
        <v>3131.5933688056193</v>
      </c>
      <c r="O48" s="34">
        <f t="shared" si="26"/>
        <v>3194.2252361817314</v>
      </c>
      <c r="P48" s="34">
        <f t="shared" si="26"/>
        <v>3258.1097409053664</v>
      </c>
      <c r="Q48" s="34">
        <f t="shared" si="26"/>
        <v>3323.2719357234728</v>
      </c>
      <c r="R48" s="34">
        <f t="shared" si="26"/>
        <v>3389.7373744379429</v>
      </c>
      <c r="S48" s="34">
        <f t="shared" si="26"/>
        <v>3457.5321219267021</v>
      </c>
      <c r="T48" s="34">
        <f t="shared" si="26"/>
        <v>3526.6827643652359</v>
      </c>
      <c r="U48" s="34">
        <f t="shared" si="26"/>
        <v>3597.21641965254</v>
      </c>
      <c r="V48" s="34">
        <f t="shared" si="26"/>
        <v>3669.1607480455918</v>
      </c>
      <c r="W48" s="34">
        <f t="shared" ref="W48:AA48" si="27" xml:space="preserve"> $C17 * ( 1 + $C18 ) ^ W39 * W42/1000</f>
        <v>3742.543963006503</v>
      </c>
      <c r="X48" s="34">
        <f t="shared" si="27"/>
        <v>3817.3948422666331</v>
      </c>
      <c r="Y48" s="34">
        <f t="shared" si="27"/>
        <v>3893.742739111965</v>
      </c>
      <c r="Z48" s="34">
        <f t="shared" si="27"/>
        <v>3971.6175938942047</v>
      </c>
      <c r="AA48" s="34">
        <f t="shared" si="27"/>
        <v>4051.0499457720884</v>
      </c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27" customFormat="1" x14ac:dyDescent="0.25">
      <c r="A49" s="12" t="s">
        <v>17</v>
      </c>
      <c r="B49" s="12"/>
      <c r="C49" s="34">
        <f t="shared" ref="C49:V49" si="28" xml:space="preserve"> $C16 * ( 1 + $C18 ) ^ C39 * $C9 * IF( C39 &gt; $C14, 0, 1 )</f>
        <v>1377</v>
      </c>
      <c r="D49" s="34">
        <f t="shared" si="28"/>
        <v>1404.54</v>
      </c>
      <c r="E49" s="34">
        <f t="shared" si="28"/>
        <v>1432.6307999999999</v>
      </c>
      <c r="F49" s="34">
        <f t="shared" si="28"/>
        <v>1461.283416</v>
      </c>
      <c r="G49" s="34">
        <f t="shared" si="28"/>
        <v>1490.5090843200001</v>
      </c>
      <c r="H49" s="34">
        <f t="shared" si="28"/>
        <v>1520.3192660064003</v>
      </c>
      <c r="I49" s="34">
        <f t="shared" si="28"/>
        <v>1550.7256513265279</v>
      </c>
      <c r="J49" s="34">
        <f t="shared" si="28"/>
        <v>1581.7401643530586</v>
      </c>
      <c r="K49" s="34">
        <f t="shared" si="28"/>
        <v>1613.3749676401196</v>
      </c>
      <c r="L49" s="34">
        <f t="shared" si="28"/>
        <v>1645.642466992922</v>
      </c>
      <c r="M49" s="34">
        <f t="shared" si="28"/>
        <v>1678.5553163327802</v>
      </c>
      <c r="N49" s="34">
        <f t="shared" si="28"/>
        <v>1712.126422659436</v>
      </c>
      <c r="O49" s="34">
        <f t="shared" si="28"/>
        <v>1746.3689511126249</v>
      </c>
      <c r="P49" s="34">
        <f t="shared" si="28"/>
        <v>1781.2963301348775</v>
      </c>
      <c r="Q49" s="34">
        <f t="shared" si="28"/>
        <v>1816.9222567375743</v>
      </c>
      <c r="R49" s="34">
        <f t="shared" si="28"/>
        <v>1853.2607018723261</v>
      </c>
      <c r="S49" s="34">
        <f t="shared" si="28"/>
        <v>1890.3259159097729</v>
      </c>
      <c r="T49" s="34">
        <f t="shared" si="28"/>
        <v>1928.1324342279681</v>
      </c>
      <c r="U49" s="34">
        <f t="shared" si="28"/>
        <v>1966.6950829125276</v>
      </c>
      <c r="V49" s="34">
        <f t="shared" si="28"/>
        <v>2006.0289845707782</v>
      </c>
      <c r="W49" s="34">
        <f t="shared" ref="W49:AA49" si="29" xml:space="preserve"> $C16 * ( 1 + $C18 ) ^ W39 * $C9 * IF( W39 &gt; $C14, 0, 1 )</f>
        <v>2046.1495642621937</v>
      </c>
      <c r="X49" s="34">
        <f t="shared" si="29"/>
        <v>2087.0725555474378</v>
      </c>
      <c r="Y49" s="34">
        <f t="shared" si="29"/>
        <v>2128.814006658386</v>
      </c>
      <c r="Z49" s="34">
        <f t="shared" si="29"/>
        <v>2171.3902867915535</v>
      </c>
      <c r="AA49" s="34">
        <f t="shared" si="29"/>
        <v>2214.818092527385</v>
      </c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27" customFormat="1" x14ac:dyDescent="0.25">
      <c r="A50" s="23" t="s">
        <v>27</v>
      </c>
      <c r="B50" s="11"/>
      <c r="C50" s="11">
        <f xml:space="preserve"> C48 + C49</f>
        <v>3895.6247999999996</v>
      </c>
      <c r="D50" s="11">
        <f t="shared" ref="D50:V50" si="30" xml:space="preserve"> D48 + D49</f>
        <v>3973.537296</v>
      </c>
      <c r="E50" s="11">
        <f t="shared" si="30"/>
        <v>4053.0080419199999</v>
      </c>
      <c r="F50" s="11">
        <f t="shared" si="30"/>
        <v>4134.0682027583998</v>
      </c>
      <c r="G50" s="11">
        <f t="shared" si="30"/>
        <v>4216.7495668135689</v>
      </c>
      <c r="H50" s="11">
        <f t="shared" si="30"/>
        <v>4301.0845581498397</v>
      </c>
      <c r="I50" s="11">
        <f t="shared" si="30"/>
        <v>4387.1062493128356</v>
      </c>
      <c r="J50" s="11">
        <f t="shared" si="30"/>
        <v>4474.8483742990929</v>
      </c>
      <c r="K50" s="11">
        <f t="shared" si="30"/>
        <v>4564.3453417850742</v>
      </c>
      <c r="L50" s="11">
        <f t="shared" si="30"/>
        <v>4655.6322486207755</v>
      </c>
      <c r="M50" s="11">
        <f t="shared" si="30"/>
        <v>4748.7448935931907</v>
      </c>
      <c r="N50" s="11">
        <f t="shared" si="30"/>
        <v>4843.7197914650551</v>
      </c>
      <c r="O50" s="11">
        <f t="shared" si="30"/>
        <v>4940.5941872943567</v>
      </c>
      <c r="P50" s="11">
        <f t="shared" si="30"/>
        <v>5039.4060710402437</v>
      </c>
      <c r="Q50" s="11">
        <f t="shared" si="30"/>
        <v>5140.1941924610474</v>
      </c>
      <c r="R50" s="11">
        <f t="shared" si="30"/>
        <v>5242.9980763102685</v>
      </c>
      <c r="S50" s="11">
        <f t="shared" si="30"/>
        <v>5347.858037836475</v>
      </c>
      <c r="T50" s="11">
        <f t="shared" si="30"/>
        <v>5454.8151985932036</v>
      </c>
      <c r="U50" s="11">
        <f t="shared" si="30"/>
        <v>5563.9115025650681</v>
      </c>
      <c r="V50" s="11">
        <f t="shared" si="30"/>
        <v>5675.1897326163698</v>
      </c>
      <c r="W50" s="11">
        <f t="shared" ref="W50:AA50" si="31" xml:space="preserve"> W48 + W49</f>
        <v>5788.6935272686969</v>
      </c>
      <c r="X50" s="11">
        <f t="shared" si="31"/>
        <v>5904.4673978140709</v>
      </c>
      <c r="Y50" s="11">
        <f t="shared" si="31"/>
        <v>6022.556745770351</v>
      </c>
      <c r="Z50" s="11">
        <f t="shared" si="31"/>
        <v>6143.0078806857582</v>
      </c>
      <c r="AA50" s="11">
        <f t="shared" si="31"/>
        <v>6265.8680382994735</v>
      </c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27" customFormat="1" x14ac:dyDescent="0.25">
      <c r="A51" s="12"/>
      <c r="B51" s="12"/>
      <c r="C51" s="31"/>
      <c r="D51" s="3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27" customFormat="1" x14ac:dyDescent="0.25">
      <c r="A52" s="11" t="s">
        <v>26</v>
      </c>
      <c r="B52" s="17"/>
      <c r="C52" s="17">
        <f t="shared" ref="C52:V52" si="32" xml:space="preserve"> C46 - C50</f>
        <v>20796.775200000004</v>
      </c>
      <c r="D52" s="17">
        <f t="shared" si="32"/>
        <v>20718.862704000003</v>
      </c>
      <c r="E52" s="17">
        <f t="shared" si="32"/>
        <v>20639.391958080003</v>
      </c>
      <c r="F52" s="17">
        <f t="shared" si="32"/>
        <v>20558.331797241601</v>
      </c>
      <c r="G52" s="17">
        <f t="shared" si="32"/>
        <v>20475.650433186434</v>
      </c>
      <c r="H52" s="17">
        <f t="shared" si="32"/>
        <v>20391.315441850162</v>
      </c>
      <c r="I52" s="17">
        <f t="shared" si="32"/>
        <v>20305.293750687168</v>
      </c>
      <c r="J52" s="17">
        <f t="shared" si="32"/>
        <v>20217.551625700908</v>
      </c>
      <c r="K52" s="17">
        <f t="shared" si="32"/>
        <v>20128.054658214925</v>
      </c>
      <c r="L52" s="17">
        <f t="shared" si="32"/>
        <v>20036.767751379226</v>
      </c>
      <c r="M52" s="17">
        <f t="shared" si="32"/>
        <v>19943.655106406812</v>
      </c>
      <c r="N52" s="17">
        <f t="shared" si="32"/>
        <v>19848.680208534948</v>
      </c>
      <c r="O52" s="17">
        <f t="shared" si="32"/>
        <v>19751.805812705643</v>
      </c>
      <c r="P52" s="17">
        <f t="shared" si="32"/>
        <v>19652.993928959757</v>
      </c>
      <c r="Q52" s="17">
        <f t="shared" si="32"/>
        <v>19552.205807538954</v>
      </c>
      <c r="R52" s="17">
        <f t="shared" si="32"/>
        <v>10192.617065017886</v>
      </c>
      <c r="S52" s="17">
        <f t="shared" si="32"/>
        <v>10319.291330611599</v>
      </c>
      <c r="T52" s="17">
        <f t="shared" si="32"/>
        <v>10447.341410381589</v>
      </c>
      <c r="U52" s="17">
        <f t="shared" si="32"/>
        <v>10576.777455544345</v>
      </c>
      <c r="V52" s="17">
        <f t="shared" si="32"/>
        <v>10707.609559864683</v>
      </c>
      <c r="W52" s="17">
        <f t="shared" ref="W52:AA52" si="33" xml:space="preserve"> W46 - W50</f>
        <v>10839.84775459957</v>
      </c>
      <c r="X52" s="17">
        <f t="shared" si="33"/>
        <v>10973.502003282218</v>
      </c>
      <c r="Y52" s="17">
        <f t="shared" si="33"/>
        <v>11108.582196342377</v>
      </c>
      <c r="Z52" s="17">
        <f t="shared" si="33"/>
        <v>11245.098145558661</v>
      </c>
      <c r="AA52" s="17">
        <f t="shared" si="33"/>
        <v>11383.059578338611</v>
      </c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s="27" customFormat="1" x14ac:dyDescent="0.25">
      <c r="A53" s="11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27" customFormat="1" x14ac:dyDescent="0.25">
      <c r="A54" s="11" t="s">
        <v>25</v>
      </c>
      <c r="B54" s="34">
        <f xml:space="preserve"> C9 * C15</f>
        <v>171000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s="27" customFormat="1" x14ac:dyDescent="0.25">
      <c r="A55" s="11" t="s">
        <v>34</v>
      </c>
      <c r="B55" s="11"/>
      <c r="C55" s="17">
        <f>B57</f>
        <v>171000</v>
      </c>
      <c r="D55" s="17">
        <f t="shared" ref="D55:V55" si="34">C57</f>
        <v>164160</v>
      </c>
      <c r="E55" s="17">
        <f t="shared" si="34"/>
        <v>157320</v>
      </c>
      <c r="F55" s="17">
        <f t="shared" si="34"/>
        <v>150480</v>
      </c>
      <c r="G55" s="17">
        <f t="shared" si="34"/>
        <v>143640</v>
      </c>
      <c r="H55" s="17">
        <f t="shared" si="34"/>
        <v>136800</v>
      </c>
      <c r="I55" s="17">
        <f t="shared" si="34"/>
        <v>129960</v>
      </c>
      <c r="J55" s="17">
        <f t="shared" si="34"/>
        <v>123120</v>
      </c>
      <c r="K55" s="17">
        <f t="shared" si="34"/>
        <v>116280</v>
      </c>
      <c r="L55" s="17">
        <f t="shared" si="34"/>
        <v>109440</v>
      </c>
      <c r="M55" s="17">
        <f t="shared" si="34"/>
        <v>102600</v>
      </c>
      <c r="N55" s="17">
        <f t="shared" si="34"/>
        <v>95760</v>
      </c>
      <c r="O55" s="17">
        <f t="shared" si="34"/>
        <v>88920</v>
      </c>
      <c r="P55" s="17">
        <f>O57</f>
        <v>82080</v>
      </c>
      <c r="Q55" s="17">
        <f t="shared" si="34"/>
        <v>75240</v>
      </c>
      <c r="R55" s="17">
        <f t="shared" si="34"/>
        <v>68400</v>
      </c>
      <c r="S55" s="17">
        <f t="shared" si="34"/>
        <v>61560</v>
      </c>
      <c r="T55" s="17">
        <f t="shared" si="34"/>
        <v>54720</v>
      </c>
      <c r="U55" s="17">
        <f t="shared" si="34"/>
        <v>47880</v>
      </c>
      <c r="V55" s="17">
        <f t="shared" si="34"/>
        <v>41040</v>
      </c>
      <c r="W55" s="17">
        <f t="shared" ref="W55" si="35">V57</f>
        <v>34200</v>
      </c>
      <c r="X55" s="17">
        <f t="shared" ref="X55" si="36">W57</f>
        <v>27360</v>
      </c>
      <c r="Y55" s="17">
        <f t="shared" ref="Y55" si="37">X57</f>
        <v>20520</v>
      </c>
      <c r="Z55" s="17">
        <f t="shared" ref="Z55" si="38">Y57</f>
        <v>13680</v>
      </c>
      <c r="AA55" s="17">
        <f t="shared" ref="AA55" si="39">Z57</f>
        <v>6840</v>
      </c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27" customFormat="1" x14ac:dyDescent="0.25">
      <c r="A56" s="12" t="s">
        <v>32</v>
      </c>
      <c r="B56" s="12"/>
      <c r="C56" s="46">
        <f t="shared" ref="C56:AA56" si="40" xml:space="preserve"> $B57 / $C14 * IF( C39 &gt; $C14, 0, 1 )</f>
        <v>6840</v>
      </c>
      <c r="D56" s="46">
        <f t="shared" si="40"/>
        <v>6840</v>
      </c>
      <c r="E56" s="46">
        <f t="shared" si="40"/>
        <v>6840</v>
      </c>
      <c r="F56" s="46">
        <f t="shared" si="40"/>
        <v>6840</v>
      </c>
      <c r="G56" s="46">
        <f t="shared" si="40"/>
        <v>6840</v>
      </c>
      <c r="H56" s="46">
        <f t="shared" si="40"/>
        <v>6840</v>
      </c>
      <c r="I56" s="46">
        <f t="shared" si="40"/>
        <v>6840</v>
      </c>
      <c r="J56" s="46">
        <f t="shared" si="40"/>
        <v>6840</v>
      </c>
      <c r="K56" s="46">
        <f t="shared" si="40"/>
        <v>6840</v>
      </c>
      <c r="L56" s="46">
        <f t="shared" si="40"/>
        <v>6840</v>
      </c>
      <c r="M56" s="46">
        <f t="shared" si="40"/>
        <v>6840</v>
      </c>
      <c r="N56" s="46">
        <f t="shared" si="40"/>
        <v>6840</v>
      </c>
      <c r="O56" s="46">
        <f t="shared" si="40"/>
        <v>6840</v>
      </c>
      <c r="P56" s="46">
        <f t="shared" si="40"/>
        <v>6840</v>
      </c>
      <c r="Q56" s="46">
        <f t="shared" si="40"/>
        <v>6840</v>
      </c>
      <c r="R56" s="46">
        <f t="shared" si="40"/>
        <v>6840</v>
      </c>
      <c r="S56" s="46">
        <f t="shared" si="40"/>
        <v>6840</v>
      </c>
      <c r="T56" s="46">
        <f t="shared" si="40"/>
        <v>6840</v>
      </c>
      <c r="U56" s="46">
        <f t="shared" si="40"/>
        <v>6840</v>
      </c>
      <c r="V56" s="46">
        <f t="shared" si="40"/>
        <v>6840</v>
      </c>
      <c r="W56" s="46">
        <f t="shared" si="40"/>
        <v>6840</v>
      </c>
      <c r="X56" s="46">
        <f t="shared" si="40"/>
        <v>6840</v>
      </c>
      <c r="Y56" s="46">
        <f t="shared" si="40"/>
        <v>6840</v>
      </c>
      <c r="Z56" s="46">
        <f t="shared" si="40"/>
        <v>6840</v>
      </c>
      <c r="AA56" s="46">
        <f t="shared" si="40"/>
        <v>6840</v>
      </c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s="27" customFormat="1" x14ac:dyDescent="0.25">
      <c r="A57" s="11" t="s">
        <v>35</v>
      </c>
      <c r="B57" s="17">
        <f>B54</f>
        <v>171000</v>
      </c>
      <c r="C57" s="17">
        <f>C55-C56</f>
        <v>164160</v>
      </c>
      <c r="D57" s="17">
        <f t="shared" ref="D57:V57" si="41">D55-D56</f>
        <v>157320</v>
      </c>
      <c r="E57" s="17">
        <f t="shared" si="41"/>
        <v>150480</v>
      </c>
      <c r="F57" s="17">
        <f t="shared" si="41"/>
        <v>143640</v>
      </c>
      <c r="G57" s="17">
        <f t="shared" si="41"/>
        <v>136800</v>
      </c>
      <c r="H57" s="17">
        <f t="shared" si="41"/>
        <v>129960</v>
      </c>
      <c r="I57" s="17">
        <f t="shared" si="41"/>
        <v>123120</v>
      </c>
      <c r="J57" s="17">
        <f t="shared" si="41"/>
        <v>116280</v>
      </c>
      <c r="K57" s="17">
        <f t="shared" si="41"/>
        <v>109440</v>
      </c>
      <c r="L57" s="17">
        <f t="shared" si="41"/>
        <v>102600</v>
      </c>
      <c r="M57" s="17">
        <f t="shared" si="41"/>
        <v>95760</v>
      </c>
      <c r="N57" s="17">
        <f t="shared" si="41"/>
        <v>88920</v>
      </c>
      <c r="O57" s="17">
        <f t="shared" si="41"/>
        <v>82080</v>
      </c>
      <c r="P57" s="17">
        <f t="shared" si="41"/>
        <v>75240</v>
      </c>
      <c r="Q57" s="17">
        <f t="shared" si="41"/>
        <v>68400</v>
      </c>
      <c r="R57" s="17">
        <f t="shared" si="41"/>
        <v>61560</v>
      </c>
      <c r="S57" s="17">
        <f t="shared" si="41"/>
        <v>54720</v>
      </c>
      <c r="T57" s="17">
        <f t="shared" si="41"/>
        <v>47880</v>
      </c>
      <c r="U57" s="17">
        <f t="shared" si="41"/>
        <v>41040</v>
      </c>
      <c r="V57" s="17">
        <f t="shared" si="41"/>
        <v>34200</v>
      </c>
      <c r="W57" s="17">
        <f t="shared" ref="W57:AA57" si="42">W55-W56</f>
        <v>27360</v>
      </c>
      <c r="X57" s="17">
        <f t="shared" si="42"/>
        <v>20520</v>
      </c>
      <c r="Y57" s="17">
        <f t="shared" si="42"/>
        <v>13680</v>
      </c>
      <c r="Z57" s="17">
        <f t="shared" si="42"/>
        <v>6840</v>
      </c>
      <c r="AA57" s="17">
        <f t="shared" si="42"/>
        <v>0</v>
      </c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s="27" customFormat="1" x14ac:dyDescent="0.25">
      <c r="A58" s="11"/>
      <c r="B58" s="15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s="27" customFormat="1" x14ac:dyDescent="0.25">
      <c r="A59" s="11" t="s">
        <v>21</v>
      </c>
      <c r="B59" s="11"/>
      <c r="C59" s="17">
        <f>C62+C60</f>
        <v>122583.40826051091</v>
      </c>
      <c r="D59" s="17">
        <f xml:space="preserve"> C62</f>
        <v>116542.6063326549</v>
      </c>
      <c r="E59" s="17">
        <f t="shared" ref="E59:V59" si="43" xml:space="preserve"> D62</f>
        <v>110169.56029876681</v>
      </c>
      <c r="F59" s="17">
        <f t="shared" si="43"/>
        <v>103445.99673301488</v>
      </c>
      <c r="G59" s="17">
        <f t="shared" si="43"/>
        <v>96352.637171146591</v>
      </c>
      <c r="H59" s="17">
        <f t="shared" si="43"/>
        <v>88869.142833375547</v>
      </c>
      <c r="I59" s="17">
        <f t="shared" si="43"/>
        <v>80974.056307027087</v>
      </c>
      <c r="J59" s="17">
        <f t="shared" si="43"/>
        <v>72644.740021729463</v>
      </c>
      <c r="K59" s="17">
        <f t="shared" si="43"/>
        <v>63857.311340740474</v>
      </c>
      <c r="L59" s="17">
        <f t="shared" si="43"/>
        <v>54586.574082297091</v>
      </c>
      <c r="M59" s="17">
        <f t="shared" si="43"/>
        <v>44805.946274639326</v>
      </c>
      <c r="N59" s="17">
        <f t="shared" si="43"/>
        <v>34487.383937560378</v>
      </c>
      <c r="O59" s="17">
        <f t="shared" si="43"/>
        <v>23601.300671942088</v>
      </c>
      <c r="P59" s="17">
        <f t="shared" si="43"/>
        <v>12116.482826714795</v>
      </c>
      <c r="Q59" s="17">
        <f t="shared" si="43"/>
        <v>0</v>
      </c>
      <c r="R59" s="17">
        <f t="shared" si="43"/>
        <v>0</v>
      </c>
      <c r="S59" s="17">
        <f t="shared" si="43"/>
        <v>0</v>
      </c>
      <c r="T59" s="17">
        <f t="shared" si="43"/>
        <v>0</v>
      </c>
      <c r="U59" s="17">
        <f t="shared" si="43"/>
        <v>0</v>
      </c>
      <c r="V59" s="17">
        <f t="shared" si="43"/>
        <v>0</v>
      </c>
      <c r="W59" s="17">
        <f t="shared" ref="W59" si="44" xml:space="preserve"> V62</f>
        <v>0</v>
      </c>
      <c r="X59" s="17">
        <f t="shared" ref="X59" si="45" xml:space="preserve"> W62</f>
        <v>0</v>
      </c>
      <c r="Y59" s="17">
        <f t="shared" ref="Y59" si="46" xml:space="preserve"> X62</f>
        <v>0</v>
      </c>
      <c r="Z59" s="17">
        <f t="shared" ref="Z59" si="47" xml:space="preserve"> Y62</f>
        <v>0</v>
      </c>
      <c r="AA59" s="17">
        <f t="shared" ref="AA59" si="48" xml:space="preserve"> Z62</f>
        <v>0</v>
      </c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s="27" customFormat="1" x14ac:dyDescent="0.25">
      <c r="A60" s="12" t="s">
        <v>22</v>
      </c>
      <c r="B60" s="15"/>
      <c r="C60" s="15">
        <f t="shared" ref="C60:V60" si="49">IF($C$30="Linear",IF(B62&gt;5,$C$28,0),IF(B62&gt;5,$C$29-C61,0))</f>
        <v>6040.8019278560078</v>
      </c>
      <c r="D60" s="15">
        <f t="shared" si="49"/>
        <v>6373.0460338880885</v>
      </c>
      <c r="E60" s="15">
        <f t="shared" si="49"/>
        <v>6723.5635657519342</v>
      </c>
      <c r="F60" s="15">
        <f t="shared" si="49"/>
        <v>7093.3595618682903</v>
      </c>
      <c r="G60" s="15">
        <f t="shared" si="49"/>
        <v>7483.494337771046</v>
      </c>
      <c r="H60" s="15">
        <f t="shared" si="49"/>
        <v>7895.0865263484529</v>
      </c>
      <c r="I60" s="15">
        <f t="shared" si="49"/>
        <v>8329.3162852976184</v>
      </c>
      <c r="J60" s="15">
        <f t="shared" si="49"/>
        <v>8787.4286809889873</v>
      </c>
      <c r="K60" s="15">
        <f t="shared" si="49"/>
        <v>9270.7372584433833</v>
      </c>
      <c r="L60" s="15">
        <f t="shared" si="49"/>
        <v>9780.6278076577692</v>
      </c>
      <c r="M60" s="15">
        <f t="shared" si="49"/>
        <v>10318.562337078945</v>
      </c>
      <c r="N60" s="15">
        <f t="shared" si="49"/>
        <v>10886.083265618288</v>
      </c>
      <c r="O60" s="15">
        <f t="shared" si="49"/>
        <v>11484.817845227293</v>
      </c>
      <c r="P60" s="15">
        <f t="shared" si="49"/>
        <v>12116.482826714795</v>
      </c>
      <c r="Q60" s="15">
        <f t="shared" si="49"/>
        <v>0</v>
      </c>
      <c r="R60" s="15">
        <f t="shared" si="49"/>
        <v>0</v>
      </c>
      <c r="S60" s="15">
        <f t="shared" si="49"/>
        <v>0</v>
      </c>
      <c r="T60" s="15">
        <f t="shared" si="49"/>
        <v>0</v>
      </c>
      <c r="U60" s="15">
        <f t="shared" si="49"/>
        <v>0</v>
      </c>
      <c r="V60" s="15">
        <f t="shared" si="49"/>
        <v>0</v>
      </c>
      <c r="W60" s="15">
        <f t="shared" ref="W60" si="50">IF($C$30="Linear",IF(V62&gt;5,$C$28,0),IF(V62&gt;5,$C$29-W61,0))</f>
        <v>0</v>
      </c>
      <c r="X60" s="15">
        <f t="shared" ref="X60" si="51">IF($C$30="Linear",IF(W62&gt;5,$C$28,0),IF(W62&gt;5,$C$29-X61,0))</f>
        <v>0</v>
      </c>
      <c r="Y60" s="15">
        <f t="shared" ref="Y60" si="52">IF($C$30="Linear",IF(X62&gt;5,$C$28,0),IF(X62&gt;5,$C$29-Y61,0))</f>
        <v>0</v>
      </c>
      <c r="Z60" s="15">
        <f t="shared" ref="Z60" si="53">IF($C$30="Linear",IF(Y62&gt;5,$C$28,0),IF(Y62&gt;5,$C$29-Z61,0))</f>
        <v>0</v>
      </c>
      <c r="AA60" s="15">
        <f t="shared" ref="AA60" si="54">IF($C$30="Linear",IF(Z62&gt;5,$C$28,0),IF(Z62&gt;5,$C$29-AA61,0))</f>
        <v>0</v>
      </c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s="35" customFormat="1" x14ac:dyDescent="0.25">
      <c r="A61" s="12" t="s">
        <v>23</v>
      </c>
      <c r="B61" s="15"/>
      <c r="C61" s="34">
        <f xml:space="preserve"> B62 * $C25</f>
        <v>6742.0874543281006</v>
      </c>
      <c r="D61" s="34">
        <f xml:space="preserve"> C62 * $C25</f>
        <v>6409.8433482960199</v>
      </c>
      <c r="E61" s="34">
        <f xml:space="preserve"> D62 * $C25</f>
        <v>6059.3258164321742</v>
      </c>
      <c r="F61" s="34">
        <f xml:space="preserve"> E62 * $C25</f>
        <v>5689.5298203158181</v>
      </c>
      <c r="G61" s="34">
        <f xml:space="preserve"> F62 * $C25</f>
        <v>5299.3950444130624</v>
      </c>
      <c r="H61" s="34">
        <f xml:space="preserve"> G62 * $C25</f>
        <v>4887.8028558356555</v>
      </c>
      <c r="I61" s="34">
        <f xml:space="preserve"> H62 * $C25</f>
        <v>4453.57309688649</v>
      </c>
      <c r="J61" s="34">
        <f xml:space="preserve"> I62 * $C25</f>
        <v>3995.4607011951207</v>
      </c>
      <c r="K61" s="34">
        <f xml:space="preserve"> J62 * $C25</f>
        <v>3512.152123740726</v>
      </c>
      <c r="L61" s="34">
        <f xml:space="preserve"> K62 * $C25</f>
        <v>3002.2615745263402</v>
      </c>
      <c r="M61" s="34">
        <f xml:space="preserve"> L62 * $C25</f>
        <v>2464.3270451051631</v>
      </c>
      <c r="N61" s="34">
        <f xml:space="preserve"> M62 * $C25</f>
        <v>1896.8061165658207</v>
      </c>
      <c r="O61" s="34">
        <f xml:space="preserve"> N62 * $C25</f>
        <v>1298.071536956815</v>
      </c>
      <c r="P61" s="34">
        <f xml:space="preserve"> O62 * $C25</f>
        <v>666.40655546931373</v>
      </c>
      <c r="Q61" s="34">
        <f xml:space="preserve"> P62 * $C25</f>
        <v>0</v>
      </c>
      <c r="R61" s="34">
        <f xml:space="preserve"> Q62 * $C25</f>
        <v>0</v>
      </c>
      <c r="S61" s="34">
        <f xml:space="preserve"> R62 * $C25</f>
        <v>0</v>
      </c>
      <c r="T61" s="34">
        <f xml:space="preserve"> S62 * $C25</f>
        <v>0</v>
      </c>
      <c r="U61" s="34">
        <f xml:space="preserve"> T62 * $C25</f>
        <v>0</v>
      </c>
      <c r="V61" s="34">
        <f xml:space="preserve"> U62 * $C25</f>
        <v>0</v>
      </c>
      <c r="W61" s="34">
        <f xml:space="preserve"> V62 * $C25</f>
        <v>0</v>
      </c>
      <c r="X61" s="34">
        <f xml:space="preserve"> W62 * $C25</f>
        <v>0</v>
      </c>
      <c r="Y61" s="34">
        <f xml:space="preserve"> X62 * $C25</f>
        <v>0</v>
      </c>
      <c r="Z61" s="34">
        <f xml:space="preserve"> Y62 * $C25</f>
        <v>0</v>
      </c>
      <c r="AA61" s="34">
        <f xml:space="preserve"> Z62 * $C25</f>
        <v>0</v>
      </c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6384" s="27" customFormat="1" x14ac:dyDescent="0.25">
      <c r="A62" s="11" t="s">
        <v>24</v>
      </c>
      <c r="B62" s="34">
        <f xml:space="preserve"> C26 * B54</f>
        <v>122583.40826051091</v>
      </c>
      <c r="C62" s="24">
        <f xml:space="preserve"> B62 - C60</f>
        <v>116542.6063326549</v>
      </c>
      <c r="D62" s="24">
        <f t="shared" ref="D62:V62" si="55" xml:space="preserve"> C62 - D60</f>
        <v>110169.56029876681</v>
      </c>
      <c r="E62" s="24">
        <f t="shared" si="55"/>
        <v>103445.99673301488</v>
      </c>
      <c r="F62" s="24">
        <f t="shared" si="55"/>
        <v>96352.637171146591</v>
      </c>
      <c r="G62" s="24">
        <f t="shared" si="55"/>
        <v>88869.142833375547</v>
      </c>
      <c r="H62" s="24">
        <f t="shared" si="55"/>
        <v>80974.056307027087</v>
      </c>
      <c r="I62" s="24">
        <f t="shared" si="55"/>
        <v>72644.740021729463</v>
      </c>
      <c r="J62" s="24">
        <f t="shared" si="55"/>
        <v>63857.311340740474</v>
      </c>
      <c r="K62" s="24">
        <f t="shared" si="55"/>
        <v>54586.574082297091</v>
      </c>
      <c r="L62" s="24">
        <f t="shared" si="55"/>
        <v>44805.946274639326</v>
      </c>
      <c r="M62" s="24">
        <f t="shared" si="55"/>
        <v>34487.383937560378</v>
      </c>
      <c r="N62" s="24">
        <f t="shared" si="55"/>
        <v>23601.300671942088</v>
      </c>
      <c r="O62" s="24">
        <f t="shared" si="55"/>
        <v>12116.482826714795</v>
      </c>
      <c r="P62" s="24">
        <f t="shared" si="55"/>
        <v>0</v>
      </c>
      <c r="Q62" s="26">
        <f t="shared" si="55"/>
        <v>0</v>
      </c>
      <c r="R62" s="24">
        <f t="shared" si="55"/>
        <v>0</v>
      </c>
      <c r="S62" s="24">
        <f t="shared" si="55"/>
        <v>0</v>
      </c>
      <c r="T62" s="24">
        <f t="shared" si="55"/>
        <v>0</v>
      </c>
      <c r="U62" s="24">
        <f t="shared" si="55"/>
        <v>0</v>
      </c>
      <c r="V62" s="24">
        <f t="shared" si="55"/>
        <v>0</v>
      </c>
      <c r="W62" s="24">
        <f t="shared" ref="W62" si="56" xml:space="preserve"> V62 - W60</f>
        <v>0</v>
      </c>
      <c r="X62" s="24">
        <f t="shared" ref="X62" si="57" xml:space="preserve"> W62 - X60</f>
        <v>0</v>
      </c>
      <c r="Y62" s="24">
        <f t="shared" ref="Y62" si="58" xml:space="preserve"> X62 - Y60</f>
        <v>0</v>
      </c>
      <c r="Z62" s="24">
        <f t="shared" ref="Z62" si="59" xml:space="preserve"> Y62 - Z60</f>
        <v>0</v>
      </c>
      <c r="AA62" s="24">
        <f t="shared" ref="AA62" si="60" xml:space="preserve"> Z62 - AA60</f>
        <v>0</v>
      </c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s="27" customFormat="1" x14ac:dyDescent="0.25">
      <c r="A63" s="12"/>
      <c r="B63" s="15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6384" s="27" customFormat="1" x14ac:dyDescent="0.25">
      <c r="A64" s="11" t="s">
        <v>20</v>
      </c>
      <c r="B64" s="16"/>
      <c r="C64" s="16">
        <f xml:space="preserve"> C52 - C61 - C56</f>
        <v>7214.687745671903</v>
      </c>
      <c r="D64" s="16">
        <f xml:space="preserve"> D52 - D61 - D56</f>
        <v>7469.019355703982</v>
      </c>
      <c r="E64" s="16">
        <f xml:space="preserve"> E52 - E61 - E56</f>
        <v>7740.0661416478288</v>
      </c>
      <c r="F64" s="16">
        <f xml:space="preserve"> F52 - F61 - F56</f>
        <v>8028.8019769257826</v>
      </c>
      <c r="G64" s="16">
        <f xml:space="preserve"> G52 - G61 - G56</f>
        <v>8336.255388773372</v>
      </c>
      <c r="H64" s="16">
        <f xml:space="preserve"> H52 - H61 - H56</f>
        <v>8663.5125860145054</v>
      </c>
      <c r="I64" s="16">
        <f xml:space="preserve"> I52 - I61 - I56</f>
        <v>9011.7206538006776</v>
      </c>
      <c r="J64" s="16">
        <f xml:space="preserve"> J52 - J61 - J56</f>
        <v>9382.0909245057865</v>
      </c>
      <c r="K64" s="16">
        <f xml:space="preserve"> K52 - K61 - K56</f>
        <v>9775.9025344742004</v>
      </c>
      <c r="L64" s="16">
        <f xml:space="preserve"> L52 - L61 - L56</f>
        <v>10194.506176852887</v>
      </c>
      <c r="M64" s="16">
        <f xml:space="preserve"> M52 - M61 - M56</f>
        <v>10639.328061301647</v>
      </c>
      <c r="N64" s="16">
        <f xml:space="preserve"> N52 - N61 - N56</f>
        <v>11111.874091969126</v>
      </c>
      <c r="O64" s="16">
        <f xml:space="preserve"> O52 - O61 - O56</f>
        <v>11613.73427574883</v>
      </c>
      <c r="P64" s="16">
        <f xml:space="preserve"> P52 - P61 - P56</f>
        <v>12146.587373490442</v>
      </c>
      <c r="Q64" s="16">
        <f xml:space="preserve"> Q52 - Q61 - Q56</f>
        <v>12712.205807538954</v>
      </c>
      <c r="R64" s="16">
        <f xml:space="preserve"> R52 - R61 - R56</f>
        <v>3352.6170650178865</v>
      </c>
      <c r="S64" s="16">
        <f xml:space="preserve"> S52 - S61 - S56</f>
        <v>3479.2913306115988</v>
      </c>
      <c r="T64" s="16">
        <f xml:space="preserve"> T52 - T61 - T56</f>
        <v>3607.3414103815885</v>
      </c>
      <c r="U64" s="16">
        <f xml:space="preserve"> U52 - U61 - U56</f>
        <v>3736.7774555443448</v>
      </c>
      <c r="V64" s="16">
        <f xml:space="preserve"> V52 - V61 - V56</f>
        <v>3867.6095598646825</v>
      </c>
      <c r="W64" s="16">
        <f xml:space="preserve"> W52 - W61 - W56</f>
        <v>3999.8477545995702</v>
      </c>
      <c r="X64" s="16">
        <f xml:space="preserve"> X52 - X61 - X56</f>
        <v>4133.5020032822176</v>
      </c>
      <c r="Y64" s="16">
        <f xml:space="preserve"> Y52 - Y61 - Y56</f>
        <v>4268.5821963423768</v>
      </c>
      <c r="Z64" s="16">
        <f xml:space="preserve"> Z52 - Z61 - Z56</f>
        <v>4405.0981455586607</v>
      </c>
      <c r="AA64" s="16">
        <f xml:space="preserve"> AA52 - AA61 - AA56</f>
        <v>4543.0595783386107</v>
      </c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s="27" customFormat="1" x14ac:dyDescent="0.25">
      <c r="A65" s="12" t="s">
        <v>28</v>
      </c>
      <c r="B65" s="12"/>
      <c r="C65" s="46">
        <f xml:space="preserve"> C64 * $C24</f>
        <v>1803.6719364179758</v>
      </c>
      <c r="D65" s="46">
        <f xml:space="preserve"> D64 * $C24</f>
        <v>1867.2548389259955</v>
      </c>
      <c r="E65" s="46">
        <f xml:space="preserve"> E64 * $C24</f>
        <v>1935.0165354119572</v>
      </c>
      <c r="F65" s="46">
        <f xml:space="preserve"> F64 * $C24</f>
        <v>2007.2004942314456</v>
      </c>
      <c r="G65" s="46">
        <f xml:space="preserve"> G64 * $C24</f>
        <v>2084.063847193343</v>
      </c>
      <c r="H65" s="46">
        <f xml:space="preserve"> H64 * $C24</f>
        <v>2165.8781465036263</v>
      </c>
      <c r="I65" s="46">
        <f xml:space="preserve"> I64 * $C24</f>
        <v>2252.9301634501694</v>
      </c>
      <c r="J65" s="46">
        <f xml:space="preserve"> J64 * $C24</f>
        <v>2345.5227311264466</v>
      </c>
      <c r="K65" s="46">
        <f xml:space="preserve"> K64 * $C24</f>
        <v>2443.9756336185501</v>
      </c>
      <c r="L65" s="46">
        <f xml:space="preserve"> L64 * $C24</f>
        <v>2548.6265442132217</v>
      </c>
      <c r="M65" s="46">
        <f xml:space="preserve"> M64 * $C24</f>
        <v>2659.8320153254117</v>
      </c>
      <c r="N65" s="46">
        <f xml:space="preserve"> N64 * $C24</f>
        <v>2777.9685229922816</v>
      </c>
      <c r="O65" s="46">
        <f xml:space="preserve"> O64 * $C24</f>
        <v>2903.4335689372074</v>
      </c>
      <c r="P65" s="46">
        <f xml:space="preserve"> P64 * $C24</f>
        <v>3036.6468433726104</v>
      </c>
      <c r="Q65" s="46">
        <f xml:space="preserve"> Q64 * $C24</f>
        <v>3178.0514518847385</v>
      </c>
      <c r="R65" s="46">
        <f xml:space="preserve"> R64 * $C24</f>
        <v>838.15426625447162</v>
      </c>
      <c r="S65" s="46">
        <f xml:space="preserve"> S64 * $C24</f>
        <v>869.82283265289971</v>
      </c>
      <c r="T65" s="46">
        <f xml:space="preserve"> T64 * $C24</f>
        <v>901.83535259539713</v>
      </c>
      <c r="U65" s="46">
        <f xml:space="preserve"> U64 * $C24</f>
        <v>934.19436388608619</v>
      </c>
      <c r="V65" s="46">
        <f xml:space="preserve"> V64 * $C24</f>
        <v>966.90238996617063</v>
      </c>
      <c r="W65" s="46">
        <f xml:space="preserve"> W64 * $C24</f>
        <v>999.96193864989255</v>
      </c>
      <c r="X65" s="46">
        <f xml:space="preserve"> X64 * $C24</f>
        <v>1033.3755008205544</v>
      </c>
      <c r="Y65" s="46">
        <f xml:space="preserve"> Y64 * $C24</f>
        <v>1067.1455490855942</v>
      </c>
      <c r="Z65" s="46">
        <f xml:space="preserve"> Z64 * $C24</f>
        <v>1101.2745363896652</v>
      </c>
      <c r="AA65" s="46">
        <f xml:space="preserve"> AA64 * $C24</f>
        <v>1135.7648945846527</v>
      </c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6384" s="27" customFormat="1" x14ac:dyDescent="0.25">
      <c r="A66" s="12"/>
      <c r="B66" s="15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6384" s="27" customFormat="1" x14ac:dyDescent="0.25">
      <c r="A67" s="11" t="s">
        <v>29</v>
      </c>
      <c r="B67" s="12"/>
      <c r="C67" s="17">
        <f>C64-C65</f>
        <v>5411.0158092539277</v>
      </c>
      <c r="D67" s="17">
        <f t="shared" ref="D67:V67" si="61">D64-D65</f>
        <v>5601.7645167779865</v>
      </c>
      <c r="E67" s="17">
        <f t="shared" si="61"/>
        <v>5805.0496062358716</v>
      </c>
      <c r="F67" s="17">
        <f t="shared" si="61"/>
        <v>6021.6014826943374</v>
      </c>
      <c r="G67" s="17">
        <f t="shared" si="61"/>
        <v>6252.1915415800286</v>
      </c>
      <c r="H67" s="17">
        <f t="shared" si="61"/>
        <v>6497.634439510879</v>
      </c>
      <c r="I67" s="17">
        <f t="shared" si="61"/>
        <v>6758.7904903505078</v>
      </c>
      <c r="J67" s="17">
        <f t="shared" si="61"/>
        <v>7036.5681933793403</v>
      </c>
      <c r="K67" s="17">
        <f t="shared" si="61"/>
        <v>7331.9269008556503</v>
      </c>
      <c r="L67" s="17">
        <f t="shared" si="61"/>
        <v>7645.879632639665</v>
      </c>
      <c r="M67" s="17">
        <f t="shared" si="61"/>
        <v>7979.4960459762351</v>
      </c>
      <c r="N67" s="17">
        <f t="shared" si="61"/>
        <v>8333.9055689768447</v>
      </c>
      <c r="O67" s="17">
        <f t="shared" si="61"/>
        <v>8710.3007068116221</v>
      </c>
      <c r="P67" s="17">
        <f t="shared" si="61"/>
        <v>9109.9405301178303</v>
      </c>
      <c r="Q67" s="17">
        <f t="shared" si="61"/>
        <v>9534.1543556542165</v>
      </c>
      <c r="R67" s="17">
        <f t="shared" si="61"/>
        <v>2514.4627987634149</v>
      </c>
      <c r="S67" s="17">
        <f t="shared" si="61"/>
        <v>2609.4684979586991</v>
      </c>
      <c r="T67" s="17">
        <f t="shared" si="61"/>
        <v>2705.5060577861914</v>
      </c>
      <c r="U67" s="17">
        <f t="shared" si="61"/>
        <v>2802.5830916582586</v>
      </c>
      <c r="V67" s="17">
        <f t="shared" si="61"/>
        <v>2900.7071698985119</v>
      </c>
      <c r="W67" s="17">
        <f t="shared" ref="W67:AA67" si="62">W64-W65</f>
        <v>2999.8858159496776</v>
      </c>
      <c r="X67" s="17">
        <f t="shared" si="62"/>
        <v>3100.1265024616632</v>
      </c>
      <c r="Y67" s="17">
        <f t="shared" si="62"/>
        <v>3201.4366472567826</v>
      </c>
      <c r="Z67" s="17">
        <f t="shared" si="62"/>
        <v>3303.8236091689955</v>
      </c>
      <c r="AA67" s="17">
        <f t="shared" si="62"/>
        <v>3407.294683753958</v>
      </c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6384" s="27" customFormat="1" x14ac:dyDescent="0.25">
      <c r="A68" s="11"/>
      <c r="B68" s="15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1:16384" s="27" customFormat="1" x14ac:dyDescent="0.25">
      <c r="A69" s="11" t="s">
        <v>31</v>
      </c>
      <c r="B69" s="15"/>
      <c r="C69" s="17">
        <f>C52-C65</f>
        <v>18993.103263582027</v>
      </c>
      <c r="D69" s="17">
        <f>D52-D65</f>
        <v>18851.607865074009</v>
      </c>
      <c r="E69" s="17">
        <f>E52-E65</f>
        <v>18704.375422668047</v>
      </c>
      <c r="F69" s="17">
        <f>F52-F65</f>
        <v>18551.131303010156</v>
      </c>
      <c r="G69" s="17">
        <f>G52-G65</f>
        <v>18391.586585993093</v>
      </c>
      <c r="H69" s="17">
        <f>H52-H65</f>
        <v>18225.437295346535</v>
      </c>
      <c r="I69" s="17">
        <f>I52-I65</f>
        <v>18052.363587237</v>
      </c>
      <c r="J69" s="17">
        <f>J52-J65</f>
        <v>17872.028894574461</v>
      </c>
      <c r="K69" s="17">
        <f>K52-K65</f>
        <v>17684.079024596376</v>
      </c>
      <c r="L69" s="17">
        <f>L52-L65</f>
        <v>17488.141207166005</v>
      </c>
      <c r="M69" s="17">
        <f>M52-M65</f>
        <v>17283.823091081402</v>
      </c>
      <c r="N69" s="17">
        <f>N52-N65</f>
        <v>17070.711685542665</v>
      </c>
      <c r="O69" s="17">
        <f>O52-O65</f>
        <v>16848.372243768434</v>
      </c>
      <c r="P69" s="17">
        <f>P52-P65</f>
        <v>16616.347085587146</v>
      </c>
      <c r="Q69" s="17">
        <f>Q52-Q65</f>
        <v>16374.154355654216</v>
      </c>
      <c r="R69" s="17">
        <f>R52-R65</f>
        <v>9354.4627987634158</v>
      </c>
      <c r="S69" s="17">
        <f>S52-S65</f>
        <v>9449.4684979587</v>
      </c>
      <c r="T69" s="17">
        <f>T52-T65</f>
        <v>9545.5060577861914</v>
      </c>
      <c r="U69" s="17">
        <f>U52-U65</f>
        <v>9642.5830916582581</v>
      </c>
      <c r="V69" s="17">
        <f>V52-V65</f>
        <v>9740.7071698985128</v>
      </c>
      <c r="W69" s="17">
        <f>W52-W65</f>
        <v>9839.8858159496776</v>
      </c>
      <c r="X69" s="17">
        <f>X52-X65</f>
        <v>9940.1265024616623</v>
      </c>
      <c r="Y69" s="17">
        <f>Y52-Y65</f>
        <v>10041.436647256782</v>
      </c>
      <c r="Z69" s="17">
        <f>Z52-Z65</f>
        <v>10143.823609168996</v>
      </c>
      <c r="AA69" s="17">
        <f>AA52-AA65</f>
        <v>10247.294683753958</v>
      </c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1:16384" s="27" customFormat="1" x14ac:dyDescent="0.25">
      <c r="A70" s="12" t="s">
        <v>30</v>
      </c>
      <c r="B70" s="15"/>
      <c r="C70" s="34">
        <f xml:space="preserve"> C60 + C61</f>
        <v>12782.889382184108</v>
      </c>
      <c r="D70" s="34">
        <f t="shared" ref="D70:V70" si="63" xml:space="preserve"> D60 + D61</f>
        <v>12782.889382184108</v>
      </c>
      <c r="E70" s="34">
        <f t="shared" si="63"/>
        <v>12782.889382184108</v>
      </c>
      <c r="F70" s="34">
        <f t="shared" si="63"/>
        <v>12782.889382184108</v>
      </c>
      <c r="G70" s="34">
        <f t="shared" si="63"/>
        <v>12782.889382184108</v>
      </c>
      <c r="H70" s="34">
        <f t="shared" si="63"/>
        <v>12782.889382184108</v>
      </c>
      <c r="I70" s="34">
        <f t="shared" si="63"/>
        <v>12782.889382184108</v>
      </c>
      <c r="J70" s="34">
        <f t="shared" si="63"/>
        <v>12782.889382184108</v>
      </c>
      <c r="K70" s="34">
        <f t="shared" si="63"/>
        <v>12782.889382184108</v>
      </c>
      <c r="L70" s="34">
        <f t="shared" si="63"/>
        <v>12782.889382184108</v>
      </c>
      <c r="M70" s="34">
        <f t="shared" si="63"/>
        <v>12782.889382184108</v>
      </c>
      <c r="N70" s="34">
        <f t="shared" si="63"/>
        <v>12782.889382184108</v>
      </c>
      <c r="O70" s="34">
        <f t="shared" si="63"/>
        <v>12782.889382184108</v>
      </c>
      <c r="P70" s="34">
        <f t="shared" si="63"/>
        <v>12782.889382184108</v>
      </c>
      <c r="Q70" s="34">
        <f t="shared" si="63"/>
        <v>0</v>
      </c>
      <c r="R70" s="34">
        <f t="shared" si="63"/>
        <v>0</v>
      </c>
      <c r="S70" s="34">
        <f t="shared" si="63"/>
        <v>0</v>
      </c>
      <c r="T70" s="34">
        <f t="shared" si="63"/>
        <v>0</v>
      </c>
      <c r="U70" s="34">
        <f t="shared" si="63"/>
        <v>0</v>
      </c>
      <c r="V70" s="34">
        <f t="shared" si="63"/>
        <v>0</v>
      </c>
      <c r="W70" s="34">
        <f t="shared" ref="W70:AA70" si="64" xml:space="preserve"> W60 + W61</f>
        <v>0</v>
      </c>
      <c r="X70" s="34">
        <f t="shared" si="64"/>
        <v>0</v>
      </c>
      <c r="Y70" s="34">
        <f t="shared" si="64"/>
        <v>0</v>
      </c>
      <c r="Z70" s="34">
        <f t="shared" si="64"/>
        <v>0</v>
      </c>
      <c r="AA70" s="34">
        <f t="shared" si="64"/>
        <v>0</v>
      </c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s="27" customFormat="1" x14ac:dyDescent="0.25">
      <c r="A71" s="12" t="s">
        <v>4</v>
      </c>
      <c r="B71" s="14"/>
      <c r="C71" s="37">
        <f xml:space="preserve"> IFERROR( C69/C70,"")</f>
        <v>1.4858223908323323</v>
      </c>
      <c r="D71" s="37">
        <f t="shared" ref="D71:P71" si="65" xml:space="preserve"> IFERROR( D69/D70,"")</f>
        <v>1.474753265982889</v>
      </c>
      <c r="E71" s="37">
        <f t="shared" si="65"/>
        <v>1.4632353346291871</v>
      </c>
      <c r="F71" s="37">
        <f t="shared" si="65"/>
        <v>1.4512471123207416</v>
      </c>
      <c r="G71" s="37">
        <f t="shared" si="65"/>
        <v>1.4387659969604363</v>
      </c>
      <c r="H71" s="37">
        <f t="shared" si="65"/>
        <v>1.4257682086139201</v>
      </c>
      <c r="I71" s="37">
        <f t="shared" si="65"/>
        <v>1.4122287260341244</v>
      </c>
      <c r="J71" s="37">
        <f t="shared" si="65"/>
        <v>1.3981212197207338</v>
      </c>
      <c r="K71" s="37">
        <f t="shared" si="65"/>
        <v>1.3834179813245666</v>
      </c>
      <c r="L71" s="37">
        <f t="shared" si="65"/>
        <v>1.3680898491963598</v>
      </c>
      <c r="M71" s="37">
        <f t="shared" si="65"/>
        <v>1.3521061298684458</v>
      </c>
      <c r="N71" s="37">
        <f t="shared" si="65"/>
        <v>1.3354345152461868</v>
      </c>
      <c r="O71" s="37">
        <f t="shared" si="65"/>
        <v>1.3180409952737688</v>
      </c>
      <c r="P71" s="37">
        <f t="shared" si="65"/>
        <v>1.2998897658260142</v>
      </c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pans="1:16384" s="27" customForma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6384" s="27" customFormat="1" x14ac:dyDescent="0.25">
      <c r="A73" s="11" t="s">
        <v>33</v>
      </c>
      <c r="B73" s="17">
        <f>B62-B54</f>
        <v>-48416.591739489086</v>
      </c>
      <c r="C73" s="17">
        <f xml:space="preserve"> C69 - C70</f>
        <v>6210.2138813979182</v>
      </c>
      <c r="D73" s="17">
        <f t="shared" ref="D73:V73" si="66">D69-D60-D61</f>
        <v>6068.7184828899017</v>
      </c>
      <c r="E73" s="17">
        <f t="shared" si="66"/>
        <v>5921.4860404839383</v>
      </c>
      <c r="F73" s="17">
        <f t="shared" si="66"/>
        <v>5768.2419208260471</v>
      </c>
      <c r="G73" s="17">
        <f t="shared" si="66"/>
        <v>5608.6972038089843</v>
      </c>
      <c r="H73" s="17">
        <f t="shared" si="66"/>
        <v>5442.5479131624279</v>
      </c>
      <c r="I73" s="17">
        <f t="shared" si="66"/>
        <v>5269.4742050528912</v>
      </c>
      <c r="J73" s="17">
        <f t="shared" si="66"/>
        <v>5089.139512390353</v>
      </c>
      <c r="K73" s="17">
        <f t="shared" si="66"/>
        <v>4901.1896424122669</v>
      </c>
      <c r="L73" s="17">
        <f t="shared" si="66"/>
        <v>4705.2518249818959</v>
      </c>
      <c r="M73" s="17">
        <f t="shared" si="66"/>
        <v>4500.9337088972934</v>
      </c>
      <c r="N73" s="17">
        <f t="shared" si="66"/>
        <v>4287.8223033585555</v>
      </c>
      <c r="O73" s="17">
        <f t="shared" si="66"/>
        <v>4065.4828615843253</v>
      </c>
      <c r="P73" s="17">
        <f t="shared" si="66"/>
        <v>3833.4577034030367</v>
      </c>
      <c r="Q73" s="17">
        <f>Q69-Q60-Q61</f>
        <v>16374.154355654216</v>
      </c>
      <c r="R73" s="17">
        <f t="shared" si="66"/>
        <v>9354.4627987634158</v>
      </c>
      <c r="S73" s="17">
        <f t="shared" si="66"/>
        <v>9449.4684979587</v>
      </c>
      <c r="T73" s="17">
        <f t="shared" si="66"/>
        <v>9545.5060577861914</v>
      </c>
      <c r="U73" s="17">
        <f t="shared" si="66"/>
        <v>9642.5830916582581</v>
      </c>
      <c r="V73" s="17">
        <f t="shared" si="66"/>
        <v>9740.7071698985128</v>
      </c>
      <c r="W73" s="17">
        <f t="shared" ref="W73:AA73" si="67">W69-W60-W61</f>
        <v>9839.8858159496776</v>
      </c>
      <c r="X73" s="17">
        <f t="shared" si="67"/>
        <v>9940.1265024616623</v>
      </c>
      <c r="Y73" s="17">
        <f t="shared" si="67"/>
        <v>10041.436647256782</v>
      </c>
      <c r="Z73" s="17">
        <f t="shared" si="67"/>
        <v>10143.823609168996</v>
      </c>
      <c r="AA73" s="17">
        <f t="shared" si="67"/>
        <v>10247.294683753958</v>
      </c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pans="1:16384" s="27" customFormat="1" x14ac:dyDescent="0.25">
      <c r="A74" s="11"/>
      <c r="B74" s="12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pans="1:16384" x14ac:dyDescent="0.25">
      <c r="A75" s="12"/>
      <c r="B75" s="3"/>
    </row>
    <row r="76" spans="1:16384" x14ac:dyDescent="0.25">
      <c r="A76" s="11" t="s">
        <v>77</v>
      </c>
      <c r="B76" s="11" t="s">
        <v>53</v>
      </c>
      <c r="C76" s="12">
        <v>1</v>
      </c>
      <c r="D76" s="12">
        <f>+C76+1</f>
        <v>2</v>
      </c>
      <c r="E76" s="12">
        <f t="shared" ref="E76:AA76" si="68">+D76+1</f>
        <v>3</v>
      </c>
      <c r="F76" s="12">
        <f t="shared" si="68"/>
        <v>4</v>
      </c>
      <c r="G76" s="12">
        <f t="shared" si="68"/>
        <v>5</v>
      </c>
      <c r="H76" s="12">
        <f t="shared" si="68"/>
        <v>6</v>
      </c>
      <c r="I76" s="12">
        <f t="shared" si="68"/>
        <v>7</v>
      </c>
      <c r="J76" s="12">
        <f t="shared" si="68"/>
        <v>8</v>
      </c>
      <c r="K76" s="12">
        <f t="shared" si="68"/>
        <v>9</v>
      </c>
      <c r="L76" s="12">
        <f t="shared" si="68"/>
        <v>10</v>
      </c>
      <c r="M76" s="12">
        <f t="shared" si="68"/>
        <v>11</v>
      </c>
      <c r="N76" s="12">
        <f t="shared" si="68"/>
        <v>12</v>
      </c>
      <c r="O76" s="12">
        <f t="shared" si="68"/>
        <v>13</v>
      </c>
      <c r="P76" s="12">
        <f t="shared" si="68"/>
        <v>14</v>
      </c>
      <c r="Q76" s="12">
        <f t="shared" si="68"/>
        <v>15</v>
      </c>
      <c r="R76" s="12">
        <f t="shared" si="68"/>
        <v>16</v>
      </c>
      <c r="S76" s="12">
        <f t="shared" si="68"/>
        <v>17</v>
      </c>
      <c r="T76" s="12">
        <f t="shared" si="68"/>
        <v>18</v>
      </c>
      <c r="U76" s="12">
        <f t="shared" si="68"/>
        <v>19</v>
      </c>
      <c r="V76" s="12">
        <f t="shared" si="68"/>
        <v>20</v>
      </c>
      <c r="W76" s="12">
        <f t="shared" si="68"/>
        <v>21</v>
      </c>
      <c r="X76" s="12">
        <f t="shared" si="68"/>
        <v>22</v>
      </c>
      <c r="Y76" s="12">
        <f t="shared" si="68"/>
        <v>23</v>
      </c>
      <c r="Z76" s="12">
        <f t="shared" si="68"/>
        <v>24</v>
      </c>
      <c r="AA76" s="12">
        <f t="shared" si="68"/>
        <v>25</v>
      </c>
    </row>
    <row r="77" spans="1:16384" x14ac:dyDescent="0.25">
      <c r="B77" s="12" t="s">
        <v>75</v>
      </c>
      <c r="C77" s="12">
        <f t="shared" ref="C77:AA77" si="69">C73</f>
        <v>6210.2138813979182</v>
      </c>
      <c r="D77" s="12">
        <f t="shared" si="69"/>
        <v>6068.7184828899017</v>
      </c>
      <c r="E77" s="12">
        <f t="shared" si="69"/>
        <v>5921.4860404839383</v>
      </c>
      <c r="F77" s="12">
        <f t="shared" si="69"/>
        <v>5768.2419208260471</v>
      </c>
      <c r="G77" s="12">
        <f t="shared" si="69"/>
        <v>5608.6972038089843</v>
      </c>
      <c r="H77" s="12">
        <f t="shared" si="69"/>
        <v>5442.5479131624279</v>
      </c>
      <c r="I77" s="12">
        <f t="shared" si="69"/>
        <v>5269.4742050528912</v>
      </c>
      <c r="J77" s="12">
        <f t="shared" si="69"/>
        <v>5089.139512390353</v>
      </c>
      <c r="K77" s="12">
        <f t="shared" si="69"/>
        <v>4901.1896424122669</v>
      </c>
      <c r="L77" s="12">
        <f t="shared" si="69"/>
        <v>4705.2518249818959</v>
      </c>
      <c r="M77" s="12">
        <f t="shared" si="69"/>
        <v>4500.9337088972934</v>
      </c>
      <c r="N77" s="12">
        <f t="shared" si="69"/>
        <v>4287.8223033585555</v>
      </c>
      <c r="O77" s="12">
        <f t="shared" si="69"/>
        <v>4065.4828615843253</v>
      </c>
      <c r="P77" s="12">
        <f t="shared" si="69"/>
        <v>3833.4577034030367</v>
      </c>
      <c r="Q77" s="12">
        <f t="shared" si="69"/>
        <v>16374.154355654216</v>
      </c>
      <c r="R77" s="12">
        <f t="shared" si="69"/>
        <v>9354.4627987634158</v>
      </c>
      <c r="S77" s="12">
        <f t="shared" si="69"/>
        <v>9449.4684979587</v>
      </c>
      <c r="T77" s="12">
        <f t="shared" si="69"/>
        <v>9545.5060577861914</v>
      </c>
      <c r="U77" s="12">
        <f t="shared" si="69"/>
        <v>9642.5830916582581</v>
      </c>
      <c r="V77" s="12">
        <f t="shared" si="69"/>
        <v>9740.7071698985128</v>
      </c>
      <c r="W77" s="12">
        <f t="shared" si="69"/>
        <v>9839.8858159496776</v>
      </c>
      <c r="X77" s="12">
        <f t="shared" si="69"/>
        <v>9940.1265024616623</v>
      </c>
      <c r="Y77" s="12">
        <f t="shared" si="69"/>
        <v>10041.436647256782</v>
      </c>
      <c r="Z77" s="12">
        <f t="shared" si="69"/>
        <v>10143.823609168996</v>
      </c>
      <c r="AA77" s="12">
        <f t="shared" si="69"/>
        <v>10247.294683753958</v>
      </c>
    </row>
    <row r="78" spans="1:16384" x14ac:dyDescent="0.25">
      <c r="B78" s="12" t="s">
        <v>73</v>
      </c>
      <c r="C78" s="12">
        <f>C70</f>
        <v>12782.889382184108</v>
      </c>
      <c r="D78" s="12">
        <f>D70</f>
        <v>12782.889382184108</v>
      </c>
      <c r="E78" s="12">
        <f>E70</f>
        <v>12782.889382184108</v>
      </c>
      <c r="F78" s="12">
        <f>F70</f>
        <v>12782.889382184108</v>
      </c>
      <c r="G78" s="12">
        <f>G70</f>
        <v>12782.889382184108</v>
      </c>
      <c r="H78" s="12">
        <f>H70</f>
        <v>12782.889382184108</v>
      </c>
      <c r="I78" s="12">
        <f>I70</f>
        <v>12782.889382184108</v>
      </c>
      <c r="J78" s="12">
        <f>J70</f>
        <v>12782.889382184108</v>
      </c>
      <c r="K78" s="12">
        <f>K70</f>
        <v>12782.889382184108</v>
      </c>
      <c r="L78" s="12">
        <f>L70</f>
        <v>12782.889382184108</v>
      </c>
      <c r="M78" s="12">
        <f>M70</f>
        <v>12782.889382184108</v>
      </c>
      <c r="N78" s="12">
        <f>N70</f>
        <v>12782.889382184108</v>
      </c>
      <c r="O78" s="12">
        <f>O70</f>
        <v>12782.889382184108</v>
      </c>
      <c r="P78" s="12">
        <f>P70</f>
        <v>12782.889382184108</v>
      </c>
      <c r="Q78" s="12">
        <f>Q70</f>
        <v>0</v>
      </c>
      <c r="R78" s="12">
        <f>R70</f>
        <v>0</v>
      </c>
      <c r="S78" s="12">
        <f>S70</f>
        <v>0</v>
      </c>
      <c r="T78" s="12">
        <f>T70</f>
        <v>0</v>
      </c>
      <c r="U78" s="12">
        <f>U70</f>
        <v>0</v>
      </c>
      <c r="V78" s="12">
        <f>V70</f>
        <v>0</v>
      </c>
      <c r="W78" s="12">
        <f>W70</f>
        <v>0</v>
      </c>
      <c r="X78" s="12">
        <f>X70</f>
        <v>0</v>
      </c>
      <c r="Y78" s="12">
        <f>Y70</f>
        <v>0</v>
      </c>
      <c r="Z78" s="12">
        <f>Z70</f>
        <v>0</v>
      </c>
      <c r="AA78" s="12">
        <f>AA70</f>
        <v>0</v>
      </c>
    </row>
    <row r="79" spans="1:16384" x14ac:dyDescent="0.25">
      <c r="B79" s="12" t="s">
        <v>74</v>
      </c>
      <c r="C79" s="12">
        <f>C65</f>
        <v>1803.6719364179758</v>
      </c>
      <c r="D79" s="12">
        <f>D65</f>
        <v>1867.2548389259955</v>
      </c>
      <c r="E79" s="12">
        <f>E65</f>
        <v>1935.0165354119572</v>
      </c>
      <c r="F79" s="12">
        <f>F65</f>
        <v>2007.2004942314456</v>
      </c>
      <c r="G79" s="12">
        <f>G65</f>
        <v>2084.063847193343</v>
      </c>
      <c r="H79" s="12">
        <f>H65</f>
        <v>2165.8781465036263</v>
      </c>
      <c r="I79" s="12">
        <f>I65</f>
        <v>2252.9301634501694</v>
      </c>
      <c r="J79" s="12">
        <f>J65</f>
        <v>2345.5227311264466</v>
      </c>
      <c r="K79" s="12">
        <f>K65</f>
        <v>2443.9756336185501</v>
      </c>
      <c r="L79" s="12">
        <f>L65</f>
        <v>2548.6265442132217</v>
      </c>
      <c r="M79" s="12">
        <f>M65</f>
        <v>2659.8320153254117</v>
      </c>
      <c r="N79" s="12">
        <f>N65</f>
        <v>2777.9685229922816</v>
      </c>
      <c r="O79" s="12">
        <f>O65</f>
        <v>2903.4335689372074</v>
      </c>
      <c r="P79" s="12">
        <f>P65</f>
        <v>3036.6468433726104</v>
      </c>
      <c r="Q79" s="12">
        <f>Q65</f>
        <v>3178.0514518847385</v>
      </c>
      <c r="R79" s="12">
        <f>R65</f>
        <v>838.15426625447162</v>
      </c>
      <c r="S79" s="12">
        <f>S65</f>
        <v>869.82283265289971</v>
      </c>
      <c r="T79" s="12">
        <f>T65</f>
        <v>901.83535259539713</v>
      </c>
      <c r="U79" s="12">
        <f>U65</f>
        <v>934.19436388608619</v>
      </c>
      <c r="V79" s="12">
        <f>V65</f>
        <v>966.90238996617063</v>
      </c>
      <c r="W79" s="12">
        <f>W65</f>
        <v>999.96193864989255</v>
      </c>
      <c r="X79" s="12">
        <f>X65</f>
        <v>1033.3755008205544</v>
      </c>
      <c r="Y79" s="12">
        <f>Y65</f>
        <v>1067.1455490855942</v>
      </c>
      <c r="Z79" s="12">
        <f>Z65</f>
        <v>1101.2745363896652</v>
      </c>
      <c r="AA79" s="12">
        <f>AA65</f>
        <v>1135.7648945846527</v>
      </c>
    </row>
    <row r="80" spans="1:16384" x14ac:dyDescent="0.25">
      <c r="B80" s="12" t="s">
        <v>72</v>
      </c>
      <c r="C80" s="12">
        <f>C50</f>
        <v>3895.6247999999996</v>
      </c>
      <c r="D80" s="12">
        <f>D50</f>
        <v>3973.537296</v>
      </c>
      <c r="E80" s="12">
        <f>E50</f>
        <v>4053.0080419199999</v>
      </c>
      <c r="F80" s="12">
        <f>F50</f>
        <v>4134.0682027583998</v>
      </c>
      <c r="G80" s="12">
        <f>G50</f>
        <v>4216.7495668135689</v>
      </c>
      <c r="H80" s="12">
        <f>H50</f>
        <v>4301.0845581498397</v>
      </c>
      <c r="I80" s="12">
        <f>I50</f>
        <v>4387.1062493128356</v>
      </c>
      <c r="J80" s="12">
        <f>J50</f>
        <v>4474.8483742990929</v>
      </c>
      <c r="K80" s="12">
        <f>K50</f>
        <v>4564.3453417850742</v>
      </c>
      <c r="L80" s="12">
        <f>L50</f>
        <v>4655.6322486207755</v>
      </c>
      <c r="M80" s="12">
        <f>M50</f>
        <v>4748.7448935931907</v>
      </c>
      <c r="N80" s="12">
        <f>N50</f>
        <v>4843.7197914650551</v>
      </c>
      <c r="O80" s="12">
        <f>O50</f>
        <v>4940.5941872943567</v>
      </c>
      <c r="P80" s="12">
        <f>P50</f>
        <v>5039.4060710402437</v>
      </c>
      <c r="Q80" s="12">
        <f>Q50</f>
        <v>5140.1941924610474</v>
      </c>
      <c r="R80" s="12">
        <f>R50</f>
        <v>5242.9980763102685</v>
      </c>
      <c r="S80" s="12">
        <f>S50</f>
        <v>5347.858037836475</v>
      </c>
      <c r="T80" s="12">
        <f>T50</f>
        <v>5454.8151985932036</v>
      </c>
      <c r="U80" s="12">
        <f>U50</f>
        <v>5563.9115025650681</v>
      </c>
      <c r="V80" s="12">
        <f>V50</f>
        <v>5675.1897326163698</v>
      </c>
      <c r="W80" s="12">
        <f>W50</f>
        <v>5788.6935272686969</v>
      </c>
      <c r="X80" s="12">
        <f>X50</f>
        <v>5904.4673978140709</v>
      </c>
      <c r="Y80" s="12">
        <f>Y50</f>
        <v>6022.556745770351</v>
      </c>
      <c r="Z80" s="12">
        <f>Z50</f>
        <v>6143.0078806857582</v>
      </c>
      <c r="AA80" s="12">
        <f>AA50</f>
        <v>6265.8680382994735</v>
      </c>
    </row>
    <row r="81" spans="2:16" x14ac:dyDescent="0.25">
      <c r="B81" s="12" t="s">
        <v>4</v>
      </c>
      <c r="C81" s="50">
        <f>(C78+C77)/C78</f>
        <v>1.4858223908323323</v>
      </c>
      <c r="D81" s="50">
        <f t="shared" ref="D81:P81" si="70">(D78+D77)/D78</f>
        <v>1.474753265982889</v>
      </c>
      <c r="E81" s="50">
        <f t="shared" si="70"/>
        <v>1.4632353346291871</v>
      </c>
      <c r="F81" s="50">
        <f t="shared" si="70"/>
        <v>1.4512471123207416</v>
      </c>
      <c r="G81" s="50">
        <f t="shared" si="70"/>
        <v>1.4387659969604363</v>
      </c>
      <c r="H81" s="50">
        <f t="shared" si="70"/>
        <v>1.4257682086139201</v>
      </c>
      <c r="I81" s="50">
        <f t="shared" si="70"/>
        <v>1.4122287260341244</v>
      </c>
      <c r="J81" s="50">
        <f t="shared" si="70"/>
        <v>1.3981212197207338</v>
      </c>
      <c r="K81" s="50">
        <f t="shared" si="70"/>
        <v>1.3834179813245666</v>
      </c>
      <c r="L81" s="50">
        <f t="shared" si="70"/>
        <v>1.3680898491963598</v>
      </c>
      <c r="M81" s="50">
        <f t="shared" si="70"/>
        <v>1.3521061298684458</v>
      </c>
      <c r="N81" s="50">
        <f t="shared" si="70"/>
        <v>1.3354345152461868</v>
      </c>
      <c r="O81" s="50">
        <f t="shared" si="70"/>
        <v>1.3180409952737688</v>
      </c>
      <c r="P81" s="50">
        <f t="shared" si="70"/>
        <v>1.2998897658260142</v>
      </c>
    </row>
    <row r="85" spans="2:16" x14ac:dyDescent="0.25">
      <c r="E85" s="2" t="s">
        <v>76</v>
      </c>
    </row>
    <row r="106" spans="1:27" x14ac:dyDescent="0.25">
      <c r="A106" s="11" t="s">
        <v>80</v>
      </c>
      <c r="B106" s="11" t="s">
        <v>53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  <c r="AA106" s="12">
        <v>25</v>
      </c>
    </row>
    <row r="107" spans="1:27" x14ac:dyDescent="0.25">
      <c r="B107" s="12" t="s">
        <v>79</v>
      </c>
      <c r="C107" s="5">
        <v>26489.028600000001</v>
      </c>
      <c r="D107" s="5">
        <v>26484.947172000004</v>
      </c>
      <c r="E107" s="5">
        <v>26480.784115439998</v>
      </c>
      <c r="F107" s="5">
        <v>26476.537797748799</v>
      </c>
      <c r="G107" s="5">
        <v>26472.206553703778</v>
      </c>
      <c r="H107" s="5">
        <v>26467.78868477785</v>
      </c>
      <c r="I107" s="5">
        <v>26463.282458473408</v>
      </c>
      <c r="J107" s="5">
        <v>26458.686107642876</v>
      </c>
      <c r="K107" s="5">
        <v>26453.997829795735</v>
      </c>
      <c r="L107" s="5">
        <v>26449.215786391647</v>
      </c>
      <c r="M107" s="5">
        <v>26444.338102119484</v>
      </c>
      <c r="N107" s="5">
        <v>26439.362864161871</v>
      </c>
      <c r="O107" s="5">
        <v>26434.288121445108</v>
      </c>
      <c r="P107" s="5">
        <v>26429.111883874011</v>
      </c>
      <c r="Q107" s="5">
        <v>26423.832121551492</v>
      </c>
      <c r="R107" s="5">
        <v>16411.63155318837</v>
      </c>
      <c r="S107" s="5">
        <v>16656.432760306107</v>
      </c>
      <c r="T107" s="5">
        <v>16904.878520207007</v>
      </c>
      <c r="U107" s="5">
        <v>17157.022951876348</v>
      </c>
      <c r="V107" s="5">
        <v>17412.920975098055</v>
      </c>
      <c r="W107" s="5">
        <v>17672.628322246954</v>
      </c>
      <c r="X107" s="5">
        <v>17936.201550253536</v>
      </c>
      <c r="Y107" s="5">
        <v>18203.698052743679</v>
      </c>
      <c r="Z107" s="5">
        <v>18475.176072355898</v>
      </c>
      <c r="AA107" s="5">
        <v>18750.694713238721</v>
      </c>
    </row>
    <row r="108" spans="1:27" x14ac:dyDescent="0.25">
      <c r="B108" s="12" t="s">
        <v>78</v>
      </c>
      <c r="C108" s="5">
        <v>6210.2138813979182</v>
      </c>
      <c r="D108" s="5">
        <v>6068.7184828899017</v>
      </c>
      <c r="E108" s="5">
        <v>5921.4860404839383</v>
      </c>
      <c r="F108" s="5">
        <v>5768.2419208260471</v>
      </c>
      <c r="G108" s="5">
        <v>5608.6972038089843</v>
      </c>
      <c r="H108" s="5">
        <v>5442.5479131624279</v>
      </c>
      <c r="I108" s="5">
        <v>5269.4742050528912</v>
      </c>
      <c r="J108" s="5">
        <v>5089.139512390353</v>
      </c>
      <c r="K108" s="5">
        <v>4901.1896424122669</v>
      </c>
      <c r="L108" s="5">
        <v>4705.2518249818959</v>
      </c>
      <c r="M108" s="5">
        <v>4500.9337088972934</v>
      </c>
      <c r="N108" s="5">
        <v>4287.8223033585555</v>
      </c>
      <c r="O108" s="5">
        <v>4065.4828615843253</v>
      </c>
      <c r="P108" s="5">
        <v>3833.4577034030367</v>
      </c>
      <c r="Q108" s="5">
        <v>16374.154355654216</v>
      </c>
      <c r="R108" s="5">
        <v>9354.4627987634158</v>
      </c>
      <c r="S108" s="5">
        <v>9449.4684979587</v>
      </c>
      <c r="T108" s="5">
        <v>9545.5060577861914</v>
      </c>
      <c r="U108" s="5">
        <v>9642.5830916582581</v>
      </c>
      <c r="V108" s="5">
        <v>9740.7071698985128</v>
      </c>
      <c r="W108" s="5">
        <v>9839.8858159496776</v>
      </c>
      <c r="X108" s="5">
        <v>9940.1265024616623</v>
      </c>
      <c r="Y108" s="5">
        <v>10041.436647256782</v>
      </c>
      <c r="Z108" s="5">
        <v>10143.823609168996</v>
      </c>
      <c r="AA108" s="5">
        <v>10247.294683753958</v>
      </c>
    </row>
    <row r="109" spans="1:27" x14ac:dyDescent="0.25">
      <c r="B109" s="12" t="s">
        <v>73</v>
      </c>
      <c r="C109" s="5">
        <v>12782.889382184108</v>
      </c>
      <c r="D109" s="5">
        <v>12782.889382184108</v>
      </c>
      <c r="E109" s="5">
        <v>12782.889382184108</v>
      </c>
      <c r="F109" s="5">
        <v>12782.889382184108</v>
      </c>
      <c r="G109" s="5">
        <v>12782.889382184108</v>
      </c>
      <c r="H109" s="5">
        <v>12782.889382184108</v>
      </c>
      <c r="I109" s="5">
        <v>12782.889382184108</v>
      </c>
      <c r="J109" s="5">
        <v>12782.889382184108</v>
      </c>
      <c r="K109" s="5">
        <v>12782.889382184108</v>
      </c>
      <c r="L109" s="5">
        <v>12782.889382184108</v>
      </c>
      <c r="M109" s="5">
        <v>12782.889382184108</v>
      </c>
      <c r="N109" s="5">
        <v>12782.889382184108</v>
      </c>
      <c r="O109" s="5">
        <v>12782.889382184108</v>
      </c>
      <c r="P109" s="5">
        <v>12782.889382184108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</row>
    <row r="110" spans="1:27" x14ac:dyDescent="0.25">
      <c r="B110" s="12" t="s">
        <v>74</v>
      </c>
      <c r="C110" s="5">
        <v>1803.6719364179758</v>
      </c>
      <c r="D110" s="5">
        <v>1867.2548389259955</v>
      </c>
      <c r="E110" s="5">
        <v>1935.0165354119572</v>
      </c>
      <c r="F110" s="5">
        <v>2007.2004942314456</v>
      </c>
      <c r="G110" s="5">
        <v>2084.063847193343</v>
      </c>
      <c r="H110" s="5">
        <v>2165.8781465036263</v>
      </c>
      <c r="I110" s="5">
        <v>2252.9301634501694</v>
      </c>
      <c r="J110" s="5">
        <v>2345.5227311264466</v>
      </c>
      <c r="K110" s="5">
        <v>2443.9756336185501</v>
      </c>
      <c r="L110" s="5">
        <v>2548.6265442132217</v>
      </c>
      <c r="M110" s="5">
        <v>2659.8320153254117</v>
      </c>
      <c r="N110" s="5">
        <v>2777.9685229922816</v>
      </c>
      <c r="O110" s="5">
        <v>2903.4335689372074</v>
      </c>
      <c r="P110" s="5">
        <v>3036.6468433726104</v>
      </c>
      <c r="Q110" s="5">
        <v>3178.0514518847385</v>
      </c>
      <c r="R110" s="5">
        <v>838.15426625447162</v>
      </c>
      <c r="S110" s="5">
        <v>869.82283265289971</v>
      </c>
      <c r="T110" s="5">
        <v>901.83535259539713</v>
      </c>
      <c r="U110" s="5">
        <v>934.19436388608619</v>
      </c>
      <c r="V110" s="5">
        <v>966.90238996617063</v>
      </c>
      <c r="W110" s="5">
        <v>999.96193864989255</v>
      </c>
      <c r="X110" s="5">
        <v>1033.3755008205544</v>
      </c>
      <c r="Y110" s="5">
        <v>1067.1455490855942</v>
      </c>
      <c r="Z110" s="5">
        <v>1101.2745363896652</v>
      </c>
      <c r="AA110" s="5">
        <v>1135.7648945846527</v>
      </c>
    </row>
    <row r="111" spans="1:27" x14ac:dyDescent="0.25">
      <c r="B111" s="12" t="s">
        <v>72</v>
      </c>
      <c r="C111" s="5">
        <v>3895.6247999999996</v>
      </c>
      <c r="D111" s="5">
        <v>3973.537296</v>
      </c>
      <c r="E111" s="5">
        <v>4053.0080419199999</v>
      </c>
      <c r="F111" s="5">
        <v>4134.0682027583998</v>
      </c>
      <c r="G111" s="5">
        <v>4216.7495668135689</v>
      </c>
      <c r="H111" s="5">
        <v>4301.0845581498397</v>
      </c>
      <c r="I111" s="5">
        <v>4387.1062493128356</v>
      </c>
      <c r="J111" s="5">
        <v>4474.8483742990929</v>
      </c>
      <c r="K111" s="5">
        <v>4564.3453417850742</v>
      </c>
      <c r="L111" s="5">
        <v>4655.6322486207755</v>
      </c>
      <c r="M111" s="5">
        <v>4748.7448935931907</v>
      </c>
      <c r="N111" s="5">
        <v>4843.7197914650551</v>
      </c>
      <c r="O111" s="5">
        <v>4940.5941872943567</v>
      </c>
      <c r="P111" s="5">
        <v>5039.4060710402437</v>
      </c>
      <c r="Q111" s="5">
        <v>5140.1941924610474</v>
      </c>
      <c r="R111" s="5">
        <v>5242.9980763102685</v>
      </c>
      <c r="S111" s="5">
        <v>5347.858037836475</v>
      </c>
      <c r="T111" s="5">
        <v>5454.8151985932036</v>
      </c>
      <c r="U111" s="5">
        <v>5563.9115025650681</v>
      </c>
      <c r="V111" s="5">
        <v>5675.1897326163698</v>
      </c>
      <c r="W111" s="5">
        <v>5788.6935272686969</v>
      </c>
      <c r="X111" s="5">
        <v>5904.4673978140709</v>
      </c>
      <c r="Y111" s="5">
        <v>6022.556745770351</v>
      </c>
      <c r="Z111" s="5">
        <v>6143.0078806857582</v>
      </c>
      <c r="AA111" s="5">
        <v>6265.8680382994735</v>
      </c>
    </row>
    <row r="112" spans="1:27" x14ac:dyDescent="0.25">
      <c r="B112" s="12" t="s">
        <v>4</v>
      </c>
      <c r="C112" s="50">
        <f>(C109+C108)/C109</f>
        <v>1.4858223908323323</v>
      </c>
      <c r="D112" s="50">
        <f t="shared" ref="D112:P112" si="71">(D109+D108)/D109</f>
        <v>1.474753265982889</v>
      </c>
      <c r="E112" s="50">
        <f t="shared" si="71"/>
        <v>1.4632353346291871</v>
      </c>
      <c r="F112" s="50">
        <f t="shared" si="71"/>
        <v>1.4512471123207416</v>
      </c>
      <c r="G112" s="50">
        <f t="shared" si="71"/>
        <v>1.4387659969604363</v>
      </c>
      <c r="H112" s="50">
        <f t="shared" si="71"/>
        <v>1.4257682086139201</v>
      </c>
      <c r="I112" s="50">
        <f t="shared" si="71"/>
        <v>1.4122287260341244</v>
      </c>
      <c r="J112" s="50">
        <f t="shared" si="71"/>
        <v>1.3981212197207338</v>
      </c>
      <c r="K112" s="50">
        <f t="shared" si="71"/>
        <v>1.3834179813245666</v>
      </c>
      <c r="L112" s="50">
        <f t="shared" si="71"/>
        <v>1.3680898491963598</v>
      </c>
      <c r="M112" s="50">
        <f t="shared" si="71"/>
        <v>1.3521061298684458</v>
      </c>
      <c r="N112" s="50">
        <f t="shared" si="71"/>
        <v>1.3354345152461868</v>
      </c>
      <c r="O112" s="50">
        <f t="shared" si="71"/>
        <v>1.3180409952737688</v>
      </c>
      <c r="P112" s="50">
        <f t="shared" si="71"/>
        <v>1.2998897658260142</v>
      </c>
    </row>
  </sheetData>
  <dataValidations disablePrompts="1" count="2">
    <dataValidation type="list" allowBlank="1" showInputMessage="1" showErrorMessage="1" sqref="C30">
      <formula1>$AA$3:$AA$4</formula1>
    </dataValidation>
    <dataValidation type="list" allowBlank="1" showInputMessage="1" showErrorMessage="1" sqref="C31">
      <formula1>$Z$3:$Z$5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Wind Model</vt:lpstr>
    </vt:vector>
  </TitlesOfParts>
  <Company>ABN AMRO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Thijs Nijland</dc:creator>
  <cp:lastModifiedBy>Thijs Nijland</cp:lastModifiedBy>
  <dcterms:created xsi:type="dcterms:W3CDTF">2014-07-15T14:22:15Z</dcterms:created>
  <dcterms:modified xsi:type="dcterms:W3CDTF">2015-12-16T21:29:19Z</dcterms:modified>
</cp:coreProperties>
</file>